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Ref_IV.6\Hundestatistik 2022\"/>
    </mc:Choice>
  </mc:AlternateContent>
  <xr:revisionPtr revIDLastSave="0" documentId="13_ncr:1_{E0DA2870-86D2-4B92-8157-AEEA2DADE29F}" xr6:coauthVersionLast="47" xr6:coauthVersionMax="47" xr10:uidLastSave="{00000000-0000-0000-0000-000000000000}"/>
  <bookViews>
    <workbookView xWindow="28680" yWindow="-120" windowWidth="29040" windowHeight="17640" tabRatio="900" firstSheet="3" activeTab="14" xr2:uid="{00000000-000D-0000-FFFF-FFFF00000000}"/>
  </bookViews>
  <sheets>
    <sheet name="BEaH13" sheetId="13" r:id="rId1"/>
    <sheet name="BEaH14" sheetId="25" r:id="rId2"/>
    <sheet name="BEaH15" sheetId="27" r:id="rId3"/>
    <sheet name="BEaH16" sheetId="3" r:id="rId4"/>
    <sheet name="Arnsberg14" sheetId="7" state="hidden" r:id="rId5"/>
    <sheet name="Detmold14" sheetId="6" state="hidden" r:id="rId6"/>
    <sheet name="Düsseldorf14" sheetId="5" state="hidden" r:id="rId7"/>
    <sheet name="Kölle14" sheetId="8" state="hidden" r:id="rId8"/>
    <sheet name="Münster14" sheetId="4" state="hidden" r:id="rId9"/>
    <sheet name="BEaH17" sheetId="28" r:id="rId10"/>
    <sheet name="BEaH18" sheetId="29" r:id="rId11"/>
    <sheet name="BEaH19" sheetId="30" r:id="rId12"/>
    <sheet name="BEaH20" sheetId="31" r:id="rId13"/>
    <sheet name="BEaH21" sheetId="32" r:id="rId14"/>
    <sheet name="BEaH22" sheetId="33" r:id="rId15"/>
    <sheet name="Stat%BM3,10,11" sheetId="10" r:id="rId16"/>
    <sheet name="Stati%BT3,10,11" sheetId="9" r:id="rId17"/>
    <sheet name="Stat%SOVO3,10,11" sheetId="11" r:id="rId18"/>
    <sheet name="1Anz3" sheetId="17" r:id="rId19"/>
    <sheet name="2Anz3BR" sheetId="18" r:id="rId20"/>
    <sheet name="3Vorfälle§3" sheetId="19" r:id="rId21"/>
    <sheet name="4Anz10" sheetId="20" r:id="rId22"/>
    <sheet name="9Grafik" sheetId="15" r:id="rId23"/>
    <sheet name="5Anz10BR" sheetId="21" r:id="rId24"/>
    <sheet name="6Vorf10" sheetId="22" r:id="rId25"/>
    <sheet name="7Anz11" sheetId="23" r:id="rId26"/>
    <sheet name="8Anz11BR" sheetId="24" r:id="rId27"/>
  </sheets>
  <definedNames>
    <definedName name="_xlnm.Print_Area" localSheetId="0">BEaH13!$A$1:$AE$43</definedName>
    <definedName name="_xlnm.Print_Area" localSheetId="1">BEaH14!$A$1:$AE$43</definedName>
    <definedName name="_xlnm.Print_Area" localSheetId="2">BEaH15!$A$1:$AE$43</definedName>
    <definedName name="_xlnm.Print_Area" localSheetId="3">BEaH16!$A$1:$AE$43</definedName>
    <definedName name="_xlnm.Print_Area" localSheetId="9">BEaH17!$A$1:$AE$43</definedName>
    <definedName name="_xlnm.Print_Area" localSheetId="10">BEaH18!$A$1:$AE$43</definedName>
    <definedName name="_xlnm.Print_Area" localSheetId="11">BEaH19!$A$1:$AE$43</definedName>
    <definedName name="_xlnm.Print_Area" localSheetId="12">BEaH20!$A$1:$AE$43</definedName>
    <definedName name="_xlnm.Print_Area" localSheetId="13">BEaH21!$A$1:$AE$43</definedName>
    <definedName name="_xlnm.Print_Area" localSheetId="15">'Stat%BM3,10,11'!$A$1:$L$41</definedName>
    <definedName name="_xlnm.Print_Area" localSheetId="17">'Stat%SOVO3,10,11'!$A$1:$L$41</definedName>
    <definedName name="_xlnm.Print_Area" localSheetId="16">'Stati%BT3,10,11'!$A$1:$L$41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0" l="1"/>
  <c r="L8" i="10"/>
  <c r="L9" i="10"/>
  <c r="L10" i="10"/>
  <c r="L11" i="10"/>
  <c r="B16" i="10" l="1"/>
  <c r="G9" i="24"/>
  <c r="G8" i="24"/>
  <c r="G7" i="24"/>
  <c r="G6" i="24"/>
  <c r="G4" i="19"/>
  <c r="G5" i="19"/>
  <c r="G3" i="19"/>
  <c r="B33" i="11"/>
  <c r="B34" i="11"/>
  <c r="B35" i="11"/>
  <c r="B36" i="11"/>
  <c r="B37" i="11"/>
  <c r="B38" i="11"/>
  <c r="B39" i="11"/>
  <c r="B40" i="11"/>
  <c r="B41" i="11"/>
  <c r="B32" i="11"/>
  <c r="L33" i="11"/>
  <c r="L34" i="11"/>
  <c r="L35" i="11"/>
  <c r="L36" i="11"/>
  <c r="L37" i="11"/>
  <c r="L38" i="11"/>
  <c r="L39" i="11"/>
  <c r="L40" i="11"/>
  <c r="L41" i="11"/>
  <c r="L32" i="11"/>
  <c r="L17" i="11"/>
  <c r="L18" i="11"/>
  <c r="L19" i="11"/>
  <c r="L20" i="11"/>
  <c r="L21" i="11"/>
  <c r="L22" i="11"/>
  <c r="L23" i="11"/>
  <c r="L24" i="11"/>
  <c r="L25" i="11"/>
  <c r="L26" i="11"/>
  <c r="L27" i="11"/>
  <c r="L16" i="11"/>
  <c r="L7" i="11"/>
  <c r="L8" i="11"/>
  <c r="L9" i="11"/>
  <c r="L10" i="11"/>
  <c r="L11" i="11"/>
  <c r="L6" i="11"/>
  <c r="B7" i="9"/>
  <c r="B8" i="9"/>
  <c r="B9" i="9"/>
  <c r="B10" i="9"/>
  <c r="B11" i="9"/>
  <c r="B6" i="9"/>
  <c r="C13" i="15" l="1"/>
  <c r="C12" i="15"/>
  <c r="C11" i="15"/>
  <c r="C10" i="15"/>
  <c r="C9" i="15"/>
  <c r="C8" i="15"/>
  <c r="C7" i="15"/>
  <c r="C6" i="15"/>
  <c r="C5" i="15"/>
  <c r="G5" i="24"/>
  <c r="G10" i="24" s="1"/>
  <c r="T3" i="23"/>
  <c r="F5" i="22"/>
  <c r="F4" i="22"/>
  <c r="F3" i="22"/>
  <c r="G10" i="21"/>
  <c r="G9" i="21"/>
  <c r="G8" i="21"/>
  <c r="G7" i="21"/>
  <c r="G6" i="21"/>
  <c r="G5" i="21"/>
  <c r="F5" i="21"/>
  <c r="F6" i="21"/>
  <c r="F7" i="21"/>
  <c r="F8" i="21"/>
  <c r="F9" i="21"/>
  <c r="F10" i="21"/>
  <c r="V3" i="20"/>
  <c r="E3" i="19"/>
  <c r="F5" i="19"/>
  <c r="F3" i="19"/>
  <c r="F4" i="19"/>
  <c r="J10" i="18"/>
  <c r="J9" i="18"/>
  <c r="J8" i="18"/>
  <c r="J7" i="18"/>
  <c r="J6" i="18"/>
  <c r="J5" i="18"/>
  <c r="V3" i="17"/>
  <c r="B33" i="9"/>
  <c r="B34" i="9"/>
  <c r="B35" i="9"/>
  <c r="B36" i="9"/>
  <c r="B37" i="9"/>
  <c r="B38" i="9"/>
  <c r="B39" i="9"/>
  <c r="B40" i="9"/>
  <c r="B41" i="9"/>
  <c r="L33" i="9"/>
  <c r="L34" i="9"/>
  <c r="L35" i="9"/>
  <c r="L36" i="9"/>
  <c r="L37" i="9"/>
  <c r="L38" i="9"/>
  <c r="L39" i="9"/>
  <c r="L40" i="9"/>
  <c r="L41" i="9"/>
  <c r="L32" i="9"/>
  <c r="B32" i="9"/>
  <c r="L17" i="9"/>
  <c r="L18" i="9"/>
  <c r="L19" i="9"/>
  <c r="L20" i="9"/>
  <c r="L21" i="9"/>
  <c r="L22" i="9"/>
  <c r="L23" i="9"/>
  <c r="L24" i="9"/>
  <c r="L25" i="9"/>
  <c r="L26" i="9"/>
  <c r="L27" i="9"/>
  <c r="L16" i="9"/>
  <c r="L7" i="9"/>
  <c r="L8" i="9"/>
  <c r="L9" i="9"/>
  <c r="L10" i="9"/>
  <c r="L11" i="9"/>
  <c r="L6" i="9"/>
  <c r="K6" i="9"/>
  <c r="B33" i="10"/>
  <c r="B34" i="10"/>
  <c r="B35" i="10"/>
  <c r="B36" i="10"/>
  <c r="B37" i="10"/>
  <c r="B38" i="10"/>
  <c r="B39" i="10"/>
  <c r="B40" i="10"/>
  <c r="B41" i="10"/>
  <c r="L33" i="10"/>
  <c r="L34" i="10"/>
  <c r="L35" i="10"/>
  <c r="L36" i="10"/>
  <c r="L37" i="10"/>
  <c r="L38" i="10"/>
  <c r="L39" i="10"/>
  <c r="L40" i="10"/>
  <c r="L41" i="10"/>
  <c r="L32" i="10"/>
  <c r="B32" i="10"/>
  <c r="L17" i="10"/>
  <c r="L18" i="10"/>
  <c r="L19" i="10"/>
  <c r="L20" i="10"/>
  <c r="L21" i="10"/>
  <c r="L22" i="10"/>
  <c r="L23" i="10"/>
  <c r="L24" i="10"/>
  <c r="L25" i="10"/>
  <c r="L26" i="10"/>
  <c r="L27" i="10"/>
  <c r="L16" i="10"/>
  <c r="L6" i="10"/>
  <c r="K6" i="10"/>
  <c r="K7" i="10"/>
  <c r="AD35" i="33"/>
  <c r="S25" i="33"/>
  <c r="Y11" i="33" l="1"/>
  <c r="Z42" i="33"/>
  <c r="Y42" i="33"/>
  <c r="X42" i="33"/>
  <c r="W42" i="33"/>
  <c r="V42" i="33"/>
  <c r="R42" i="33"/>
  <c r="Q42" i="33"/>
  <c r="P42" i="33"/>
  <c r="L42" i="33"/>
  <c r="K42" i="33"/>
  <c r="J42" i="33"/>
  <c r="I42" i="33"/>
  <c r="H42" i="33"/>
  <c r="F42" i="33"/>
  <c r="E42" i="33"/>
  <c r="D42" i="33"/>
  <c r="C42" i="33"/>
  <c r="B42" i="33"/>
  <c r="AD41" i="33"/>
  <c r="AC41" i="33"/>
  <c r="AA41" i="33"/>
  <c r="T41" i="33"/>
  <c r="M41" i="33"/>
  <c r="G41" i="33"/>
  <c r="AD40" i="33"/>
  <c r="AA40" i="33"/>
  <c r="T40" i="33"/>
  <c r="M40" i="33"/>
  <c r="G40" i="33"/>
  <c r="Z37" i="33"/>
  <c r="Y37" i="33"/>
  <c r="X37" i="33"/>
  <c r="W37" i="33"/>
  <c r="V37" i="33"/>
  <c r="S37" i="33"/>
  <c r="R37" i="33"/>
  <c r="Q37" i="33"/>
  <c r="P37" i="33"/>
  <c r="O37" i="33"/>
  <c r="L37" i="33"/>
  <c r="K37" i="33"/>
  <c r="J37" i="33"/>
  <c r="I37" i="33"/>
  <c r="H37" i="33"/>
  <c r="F37" i="33"/>
  <c r="E37" i="33"/>
  <c r="D37" i="33"/>
  <c r="B37" i="33"/>
  <c r="AA36" i="33"/>
  <c r="T36" i="33"/>
  <c r="M36" i="33"/>
  <c r="G36" i="33"/>
  <c r="AA35" i="33"/>
  <c r="T35" i="33"/>
  <c r="M35" i="33"/>
  <c r="G35" i="33"/>
  <c r="AA34" i="33"/>
  <c r="T34" i="33"/>
  <c r="M34" i="33"/>
  <c r="G34" i="33"/>
  <c r="AA33" i="33"/>
  <c r="T33" i="33"/>
  <c r="M33" i="33"/>
  <c r="G33" i="33"/>
  <c r="AA32" i="33"/>
  <c r="T32" i="33"/>
  <c r="M32" i="33"/>
  <c r="G32" i="33"/>
  <c r="AA31" i="33"/>
  <c r="T31" i="33"/>
  <c r="M31" i="33"/>
  <c r="G31" i="33"/>
  <c r="AA30" i="33"/>
  <c r="T30" i="33"/>
  <c r="M30" i="33"/>
  <c r="G30" i="33"/>
  <c r="AA29" i="33"/>
  <c r="T29" i="33"/>
  <c r="M29" i="33"/>
  <c r="G29" i="33"/>
  <c r="AA28" i="33"/>
  <c r="T28" i="33"/>
  <c r="M28" i="33"/>
  <c r="G28" i="33"/>
  <c r="Z25" i="33"/>
  <c r="Y25" i="33"/>
  <c r="X25" i="33"/>
  <c r="W25" i="33"/>
  <c r="V25" i="33"/>
  <c r="R25" i="33"/>
  <c r="Q25" i="33"/>
  <c r="P25" i="33"/>
  <c r="O25" i="33"/>
  <c r="L25" i="33"/>
  <c r="K25" i="33"/>
  <c r="J25" i="33"/>
  <c r="I25" i="33"/>
  <c r="H25" i="33"/>
  <c r="F25" i="33"/>
  <c r="E25" i="33"/>
  <c r="D25" i="33"/>
  <c r="B25" i="33"/>
  <c r="AA24" i="33"/>
  <c r="T24" i="33"/>
  <c r="M24" i="33"/>
  <c r="G24" i="33"/>
  <c r="AA23" i="33"/>
  <c r="T23" i="33"/>
  <c r="M23" i="33"/>
  <c r="G23" i="33"/>
  <c r="AA22" i="33"/>
  <c r="T22" i="33"/>
  <c r="M22" i="33"/>
  <c r="G22" i="33"/>
  <c r="AA21" i="33"/>
  <c r="T21" i="33"/>
  <c r="M21" i="33"/>
  <c r="G21" i="33"/>
  <c r="AE20" i="33"/>
  <c r="AA20" i="33"/>
  <c r="T20" i="33"/>
  <c r="M20" i="33"/>
  <c r="G20" i="33"/>
  <c r="AA19" i="33"/>
  <c r="T19" i="33"/>
  <c r="M19" i="33"/>
  <c r="G19" i="33"/>
  <c r="AE18" i="33"/>
  <c r="AD18" i="33"/>
  <c r="AA18" i="33"/>
  <c r="T18" i="33"/>
  <c r="M18" i="33"/>
  <c r="G18" i="33"/>
  <c r="N18" i="33" s="1"/>
  <c r="AE17" i="33"/>
  <c r="AD17" i="33"/>
  <c r="AA17" i="33"/>
  <c r="T17" i="33"/>
  <c r="M17" i="33"/>
  <c r="G17" i="33"/>
  <c r="AA16" i="33"/>
  <c r="T16" i="33"/>
  <c r="M16" i="33"/>
  <c r="G16" i="33"/>
  <c r="AA15" i="33"/>
  <c r="T15" i="33"/>
  <c r="M15" i="33"/>
  <c r="G15" i="33"/>
  <c r="AC14" i="33"/>
  <c r="AA14" i="33"/>
  <c r="T14" i="33"/>
  <c r="M14" i="33"/>
  <c r="Z11" i="33"/>
  <c r="X11" i="33"/>
  <c r="W11" i="33"/>
  <c r="V11" i="33"/>
  <c r="S11" i="33"/>
  <c r="R11" i="33"/>
  <c r="Q11" i="33"/>
  <c r="P11" i="33"/>
  <c r="O11" i="33"/>
  <c r="L11" i="33"/>
  <c r="K11" i="33"/>
  <c r="J11" i="33"/>
  <c r="I11" i="33"/>
  <c r="H11" i="33"/>
  <c r="F11" i="33"/>
  <c r="E11" i="33"/>
  <c r="D11" i="33"/>
  <c r="C11" i="33"/>
  <c r="B11" i="33"/>
  <c r="AA10" i="33"/>
  <c r="T10" i="33"/>
  <c r="M10" i="33"/>
  <c r="G10" i="33"/>
  <c r="AC9" i="33"/>
  <c r="AA9" i="33"/>
  <c r="T9" i="33"/>
  <c r="M9" i="33"/>
  <c r="G9" i="33"/>
  <c r="AC8" i="33"/>
  <c r="AA8" i="33"/>
  <c r="T8" i="33"/>
  <c r="M8" i="33"/>
  <c r="G8" i="33"/>
  <c r="AA7" i="33"/>
  <c r="T7" i="33"/>
  <c r="M7" i="33"/>
  <c r="G7" i="33"/>
  <c r="AA6" i="33"/>
  <c r="T6" i="33"/>
  <c r="M6" i="33"/>
  <c r="G6" i="33"/>
  <c r="U8" i="33" l="1"/>
  <c r="N15" i="33"/>
  <c r="AC42" i="33"/>
  <c r="AB35" i="33"/>
  <c r="AD42" i="33"/>
  <c r="AE42" i="33"/>
  <c r="N16" i="33"/>
  <c r="U23" i="33"/>
  <c r="N35" i="33"/>
  <c r="G42" i="33"/>
  <c r="M42" i="33"/>
  <c r="AB10" i="33"/>
  <c r="AB17" i="33"/>
  <c r="T42" i="33"/>
  <c r="AA42" i="33"/>
  <c r="AB42" i="33" s="1"/>
  <c r="AB33" i="33"/>
  <c r="U31" i="33"/>
  <c r="AB22" i="33"/>
  <c r="R43" i="33"/>
  <c r="U7" i="33"/>
  <c r="U29" i="33"/>
  <c r="P43" i="33"/>
  <c r="AB41" i="33"/>
  <c r="AB9" i="33"/>
  <c r="AB31" i="33"/>
  <c r="AB29" i="33"/>
  <c r="N36" i="33"/>
  <c r="Q43" i="33"/>
  <c r="AE11" i="33"/>
  <c r="AB34" i="33"/>
  <c r="U9" i="33"/>
  <c r="U30" i="33"/>
  <c r="N28" i="33"/>
  <c r="AB19" i="33"/>
  <c r="H43" i="33"/>
  <c r="C25" i="33"/>
  <c r="C43" i="33" s="1"/>
  <c r="I43" i="33"/>
  <c r="M25" i="33"/>
  <c r="AA11" i="33"/>
  <c r="T25" i="33"/>
  <c r="Z43" i="33"/>
  <c r="N34" i="33"/>
  <c r="N30" i="33"/>
  <c r="N32" i="33"/>
  <c r="U34" i="33"/>
  <c r="O43" i="33"/>
  <c r="AD25" i="33"/>
  <c r="N19" i="33"/>
  <c r="U21" i="33"/>
  <c r="T37" i="33"/>
  <c r="U36" i="33"/>
  <c r="AE25" i="33"/>
  <c r="U19" i="33"/>
  <c r="AB21" i="33"/>
  <c r="AB32" i="33"/>
  <c r="AB36" i="33"/>
  <c r="N41" i="33"/>
  <c r="J43" i="33"/>
  <c r="U28" i="33"/>
  <c r="AA37" i="33"/>
  <c r="U41" i="33"/>
  <c r="K43" i="33"/>
  <c r="AB28" i="33"/>
  <c r="AC37" i="33"/>
  <c r="S43" i="33"/>
  <c r="M11" i="33"/>
  <c r="L43" i="33"/>
  <c r="V43" i="33"/>
  <c r="AA25" i="33"/>
  <c r="AD37" i="33"/>
  <c r="B43" i="33"/>
  <c r="W43" i="33"/>
  <c r="AC25" i="33"/>
  <c r="AB20" i="33"/>
  <c r="N24" i="33"/>
  <c r="AE37" i="33"/>
  <c r="N33" i="33"/>
  <c r="AC11" i="33"/>
  <c r="X43" i="33"/>
  <c r="U24" i="33"/>
  <c r="G37" i="33"/>
  <c r="N31" i="33"/>
  <c r="U33" i="33"/>
  <c r="D43" i="33"/>
  <c r="AD11" i="33"/>
  <c r="Y43" i="33"/>
  <c r="AB24" i="33"/>
  <c r="M37" i="33"/>
  <c r="U35" i="33"/>
  <c r="N22" i="33"/>
  <c r="U22" i="33"/>
  <c r="N21" i="33"/>
  <c r="AB18" i="33"/>
  <c r="U16" i="33"/>
  <c r="AB16" i="33"/>
  <c r="N10" i="33"/>
  <c r="U10" i="33"/>
  <c r="N9" i="33"/>
  <c r="N8" i="33"/>
  <c r="G11" i="33"/>
  <c r="AB8" i="33"/>
  <c r="N7" i="33"/>
  <c r="AB6" i="33"/>
  <c r="U6" i="33"/>
  <c r="F43" i="33"/>
  <c r="U17" i="33"/>
  <c r="U15" i="33"/>
  <c r="N23" i="33"/>
  <c r="N17" i="33"/>
  <c r="AB23" i="33"/>
  <c r="N20" i="33"/>
  <c r="U20" i="33"/>
  <c r="U18" i="33"/>
  <c r="N6" i="33"/>
  <c r="U32" i="33"/>
  <c r="U40" i="33"/>
  <c r="T11" i="33"/>
  <c r="AB40" i="33"/>
  <c r="G14" i="33"/>
  <c r="G25" i="33" s="1"/>
  <c r="N40" i="33"/>
  <c r="AB15" i="33"/>
  <c r="N29" i="33"/>
  <c r="AB7" i="33"/>
  <c r="AB30" i="33"/>
  <c r="AE41" i="32"/>
  <c r="AE40" i="32"/>
  <c r="AE36" i="32"/>
  <c r="AE35" i="32"/>
  <c r="AE34" i="32"/>
  <c r="AE33" i="32"/>
  <c r="AE32" i="32"/>
  <c r="AE31" i="32"/>
  <c r="AE30" i="32"/>
  <c r="AE29" i="32"/>
  <c r="AE28" i="32"/>
  <c r="AE24" i="32"/>
  <c r="AE23" i="32"/>
  <c r="AE22" i="32"/>
  <c r="AE21" i="32"/>
  <c r="AE20" i="32"/>
  <c r="AE19" i="32"/>
  <c r="AE18" i="32"/>
  <c r="AE17" i="32"/>
  <c r="AE16" i="32"/>
  <c r="AE15" i="32"/>
  <c r="AE14" i="32"/>
  <c r="AE10" i="32"/>
  <c r="AE9" i="32"/>
  <c r="AE8" i="32"/>
  <c r="AE7" i="32"/>
  <c r="AE6" i="32"/>
  <c r="AD41" i="32"/>
  <c r="AD40" i="32"/>
  <c r="AD36" i="32"/>
  <c r="AD35" i="32"/>
  <c r="AD34" i="32"/>
  <c r="AD33" i="32"/>
  <c r="AD32" i="32"/>
  <c r="AD31" i="32"/>
  <c r="AD30" i="32"/>
  <c r="AD29" i="32"/>
  <c r="AD28" i="32"/>
  <c r="AD24" i="32"/>
  <c r="AD23" i="32"/>
  <c r="AD22" i="32"/>
  <c r="AD21" i="32"/>
  <c r="AD20" i="32"/>
  <c r="AD19" i="32"/>
  <c r="AD18" i="32"/>
  <c r="AD17" i="32"/>
  <c r="AD16" i="32"/>
  <c r="AD15" i="32"/>
  <c r="AD14" i="32"/>
  <c r="AD10" i="32"/>
  <c r="AD9" i="32"/>
  <c r="AD8" i="32"/>
  <c r="AD7" i="32"/>
  <c r="AD6" i="32"/>
  <c r="AC41" i="32"/>
  <c r="AC40" i="32"/>
  <c r="AC36" i="32"/>
  <c r="AC35" i="32"/>
  <c r="AC34" i="32"/>
  <c r="AC33" i="32"/>
  <c r="AC32" i="32"/>
  <c r="AC31" i="32"/>
  <c r="AC30" i="32"/>
  <c r="AC29" i="32"/>
  <c r="AC28" i="32"/>
  <c r="AC24" i="32"/>
  <c r="AC23" i="32"/>
  <c r="AC22" i="32"/>
  <c r="AC21" i="32"/>
  <c r="AC20" i="32"/>
  <c r="AC19" i="32"/>
  <c r="AC18" i="32"/>
  <c r="AC17" i="32"/>
  <c r="AC16" i="32"/>
  <c r="AC15" i="32"/>
  <c r="AC14" i="32"/>
  <c r="AC10" i="32"/>
  <c r="AC9" i="32"/>
  <c r="AC8" i="32"/>
  <c r="AC7" i="32"/>
  <c r="AC6" i="32"/>
  <c r="U42" i="33" l="1"/>
  <c r="N42" i="33"/>
  <c r="AE43" i="33"/>
  <c r="M43" i="33"/>
  <c r="E43" i="33"/>
  <c r="AA43" i="33"/>
  <c r="N37" i="33"/>
  <c r="AD43" i="33"/>
  <c r="AC43" i="33"/>
  <c r="N25" i="33"/>
  <c r="AB37" i="33"/>
  <c r="AB11" i="33"/>
  <c r="U37" i="33"/>
  <c r="AB25" i="33"/>
  <c r="N11" i="33"/>
  <c r="U25" i="33"/>
  <c r="G43" i="33"/>
  <c r="U11" i="33"/>
  <c r="T43" i="33"/>
  <c r="N14" i="33"/>
  <c r="AB14" i="33"/>
  <c r="U14" i="33"/>
  <c r="V37" i="32"/>
  <c r="N43" i="33" l="1"/>
  <c r="AB43" i="33"/>
  <c r="U43" i="33"/>
  <c r="B25" i="32"/>
  <c r="F25" i="32" l="1"/>
  <c r="C24" i="32" l="1"/>
  <c r="C23" i="32"/>
  <c r="C22" i="32"/>
  <c r="G22" i="32" s="1"/>
  <c r="C21" i="32"/>
  <c r="C20" i="32"/>
  <c r="C19" i="32"/>
  <c r="G19" i="32" s="1"/>
  <c r="C18" i="32"/>
  <c r="G18" i="32" s="1"/>
  <c r="C17" i="32"/>
  <c r="G17" i="32" s="1"/>
  <c r="C16" i="32"/>
  <c r="C15" i="32"/>
  <c r="G15" i="32" s="1"/>
  <c r="C14" i="32"/>
  <c r="G14" i="32" s="1"/>
  <c r="G21" i="32"/>
  <c r="G8" i="32"/>
  <c r="B11" i="32"/>
  <c r="I5" i="18" s="1"/>
  <c r="AE42" i="32"/>
  <c r="AD42" i="32"/>
  <c r="Z42" i="32"/>
  <c r="Y42" i="32"/>
  <c r="X42" i="32"/>
  <c r="W42" i="32"/>
  <c r="V42" i="32"/>
  <c r="S42" i="32"/>
  <c r="R42" i="32"/>
  <c r="Q42" i="32"/>
  <c r="P42" i="32"/>
  <c r="O42" i="32"/>
  <c r="L42" i="32"/>
  <c r="K42" i="32"/>
  <c r="J42" i="32"/>
  <c r="I42" i="32"/>
  <c r="H42" i="32"/>
  <c r="F42" i="32"/>
  <c r="E42" i="32"/>
  <c r="D42" i="32"/>
  <c r="C42" i="32"/>
  <c r="B42" i="32"/>
  <c r="AA41" i="32"/>
  <c r="T41" i="32"/>
  <c r="M41" i="32"/>
  <c r="G41" i="32"/>
  <c r="AC42" i="32"/>
  <c r="AA40" i="32"/>
  <c r="T40" i="32"/>
  <c r="M40" i="32"/>
  <c r="G40" i="32"/>
  <c r="Z37" i="32"/>
  <c r="Y37" i="32"/>
  <c r="Y43" i="32" s="1"/>
  <c r="X37" i="32"/>
  <c r="W37" i="32"/>
  <c r="S37" i="32"/>
  <c r="R37" i="32"/>
  <c r="Q37" i="32"/>
  <c r="P37" i="32"/>
  <c r="O37" i="32"/>
  <c r="L37" i="32"/>
  <c r="K37" i="32"/>
  <c r="J37" i="32"/>
  <c r="I37" i="32"/>
  <c r="H37" i="32"/>
  <c r="F37" i="32"/>
  <c r="F9" i="24" s="1"/>
  <c r="E37" i="32"/>
  <c r="F8" i="24" s="1"/>
  <c r="D37" i="32"/>
  <c r="F7" i="24" s="1"/>
  <c r="C37" i="32"/>
  <c r="F6" i="24" s="1"/>
  <c r="B37" i="32"/>
  <c r="F5" i="24" s="1"/>
  <c r="F10" i="24" s="1"/>
  <c r="AA36" i="32"/>
  <c r="T36" i="32"/>
  <c r="M36" i="32"/>
  <c r="G36" i="32"/>
  <c r="AA35" i="32"/>
  <c r="T35" i="32"/>
  <c r="M35" i="32"/>
  <c r="G35" i="32"/>
  <c r="AA34" i="32"/>
  <c r="T34" i="32"/>
  <c r="M34" i="32"/>
  <c r="G34" i="32"/>
  <c r="AA33" i="32"/>
  <c r="T33" i="32"/>
  <c r="M33" i="32"/>
  <c r="G33" i="32"/>
  <c r="AA32" i="32"/>
  <c r="T32" i="32"/>
  <c r="M32" i="32"/>
  <c r="G32" i="32"/>
  <c r="AA31" i="32"/>
  <c r="T31" i="32"/>
  <c r="M31" i="32"/>
  <c r="G31" i="32"/>
  <c r="AA30" i="32"/>
  <c r="T30" i="32"/>
  <c r="M30" i="32"/>
  <c r="G30" i="32"/>
  <c r="AC37" i="32"/>
  <c r="AA29" i="32"/>
  <c r="T29" i="32"/>
  <c r="M29" i="32"/>
  <c r="G29" i="32"/>
  <c r="AA28" i="32"/>
  <c r="T28" i="32"/>
  <c r="M28" i="32"/>
  <c r="G28" i="32"/>
  <c r="R25" i="32"/>
  <c r="Q25" i="32"/>
  <c r="P25" i="32"/>
  <c r="O25" i="32"/>
  <c r="L25" i="32"/>
  <c r="K25" i="32"/>
  <c r="H25" i="32"/>
  <c r="E25" i="32"/>
  <c r="D25" i="32"/>
  <c r="AA24" i="32"/>
  <c r="T24" i="32"/>
  <c r="M24" i="32"/>
  <c r="G24" i="32"/>
  <c r="N24" i="32" s="1"/>
  <c r="K26" i="10" s="1"/>
  <c r="AA23" i="32"/>
  <c r="T23" i="32"/>
  <c r="M23" i="32"/>
  <c r="G23" i="32"/>
  <c r="AA22" i="32"/>
  <c r="T22" i="32"/>
  <c r="M22" i="32"/>
  <c r="AA21" i="32"/>
  <c r="T21" i="32"/>
  <c r="M21" i="32"/>
  <c r="X25" i="32"/>
  <c r="T20" i="32"/>
  <c r="M20" i="32"/>
  <c r="G20" i="32"/>
  <c r="Y25" i="32"/>
  <c r="AA19" i="32"/>
  <c r="T19" i="32"/>
  <c r="M19" i="32"/>
  <c r="AA18" i="32"/>
  <c r="T18" i="32"/>
  <c r="M18" i="32"/>
  <c r="AA17" i="32"/>
  <c r="T17" i="32"/>
  <c r="AA16" i="32"/>
  <c r="T16" i="32"/>
  <c r="M16" i="32"/>
  <c r="G16" i="32"/>
  <c r="AE25" i="32"/>
  <c r="AD25" i="32"/>
  <c r="Z25" i="32"/>
  <c r="T15" i="32"/>
  <c r="M15" i="32"/>
  <c r="AA14" i="32"/>
  <c r="T14" i="32"/>
  <c r="M14" i="32"/>
  <c r="Z11" i="32"/>
  <c r="Y11" i="32"/>
  <c r="X11" i="32"/>
  <c r="W11" i="32"/>
  <c r="V11" i="32"/>
  <c r="S11" i="32"/>
  <c r="R11" i="32"/>
  <c r="Q11" i="32"/>
  <c r="P11" i="32"/>
  <c r="O11" i="32"/>
  <c r="L11" i="32"/>
  <c r="K11" i="32"/>
  <c r="J11" i="32"/>
  <c r="I11" i="32"/>
  <c r="H11" i="32"/>
  <c r="F11" i="32"/>
  <c r="I9" i="18" s="1"/>
  <c r="E11" i="32"/>
  <c r="I8" i="18" s="1"/>
  <c r="D11" i="32"/>
  <c r="I7" i="18" s="1"/>
  <c r="C11" i="32"/>
  <c r="I6" i="18" s="1"/>
  <c r="AA10" i="32"/>
  <c r="T10" i="32"/>
  <c r="M10" i="32"/>
  <c r="G10" i="32"/>
  <c r="AA9" i="32"/>
  <c r="T9" i="32"/>
  <c r="M9" i="32"/>
  <c r="G9" i="32"/>
  <c r="AA8" i="32"/>
  <c r="T8" i="32"/>
  <c r="M8" i="32"/>
  <c r="AE11" i="32"/>
  <c r="AD11" i="32"/>
  <c r="AA7" i="32"/>
  <c r="T7" i="32"/>
  <c r="M7" i="32"/>
  <c r="AC11" i="32"/>
  <c r="AA6" i="32"/>
  <c r="T6" i="32"/>
  <c r="M6" i="32"/>
  <c r="G6" i="32"/>
  <c r="N33" i="32" l="1"/>
  <c r="K37" i="10" s="1"/>
  <c r="X43" i="32"/>
  <c r="U36" i="32"/>
  <c r="K40" i="9" s="1"/>
  <c r="N29" i="32"/>
  <c r="K33" i="10" s="1"/>
  <c r="AA11" i="32"/>
  <c r="E5" i="19" s="1"/>
  <c r="U32" i="32"/>
  <c r="K36" i="9" s="1"/>
  <c r="O43" i="32"/>
  <c r="U35" i="32"/>
  <c r="K39" i="9" s="1"/>
  <c r="U34" i="32"/>
  <c r="K38" i="9" s="1"/>
  <c r="AB6" i="32"/>
  <c r="K6" i="11" s="1"/>
  <c r="AA37" i="32"/>
  <c r="AB17" i="32"/>
  <c r="K19" i="11" s="1"/>
  <c r="AB22" i="32"/>
  <c r="K24" i="11" s="1"/>
  <c r="AB10" i="32"/>
  <c r="K10" i="11" s="1"/>
  <c r="R43" i="32"/>
  <c r="U40" i="32"/>
  <c r="Q43" i="32"/>
  <c r="T37" i="32"/>
  <c r="T25" i="32"/>
  <c r="E4" i="22" s="1"/>
  <c r="P43" i="32"/>
  <c r="U9" i="32"/>
  <c r="U30" i="32"/>
  <c r="K34" i="9" s="1"/>
  <c r="L43" i="32"/>
  <c r="N41" i="32"/>
  <c r="K43" i="32"/>
  <c r="N31" i="32"/>
  <c r="K35" i="10" s="1"/>
  <c r="N35" i="32"/>
  <c r="K39" i="10" s="1"/>
  <c r="N18" i="32"/>
  <c r="K20" i="10" s="1"/>
  <c r="M11" i="32"/>
  <c r="H43" i="32"/>
  <c r="F43" i="32"/>
  <c r="D43" i="32"/>
  <c r="AB16" i="32"/>
  <c r="K18" i="11" s="1"/>
  <c r="AB41" i="32"/>
  <c r="AB29" i="32"/>
  <c r="K33" i="11" s="1"/>
  <c r="AB31" i="32"/>
  <c r="K35" i="11" s="1"/>
  <c r="U29" i="32"/>
  <c r="K33" i="9" s="1"/>
  <c r="U31" i="32"/>
  <c r="K35" i="9" s="1"/>
  <c r="C25" i="32"/>
  <c r="N15" i="32"/>
  <c r="K17" i="10" s="1"/>
  <c r="N16" i="32"/>
  <c r="K18" i="10" s="1"/>
  <c r="U21" i="32"/>
  <c r="K23" i="9" s="1"/>
  <c r="N19" i="32"/>
  <c r="K21" i="10" s="1"/>
  <c r="N21" i="32"/>
  <c r="K23" i="10" s="1"/>
  <c r="U24" i="32"/>
  <c r="K26" i="9" s="1"/>
  <c r="G37" i="32"/>
  <c r="AB33" i="32"/>
  <c r="K37" i="11" s="1"/>
  <c r="AB35" i="32"/>
  <c r="K39" i="11" s="1"/>
  <c r="U33" i="32"/>
  <c r="K37" i="9" s="1"/>
  <c r="N36" i="32"/>
  <c r="K40" i="10" s="1"/>
  <c r="U18" i="32"/>
  <c r="K20" i="9" s="1"/>
  <c r="U19" i="32"/>
  <c r="K21" i="9" s="1"/>
  <c r="AB23" i="32"/>
  <c r="K25" i="11" s="1"/>
  <c r="AB18" i="32"/>
  <c r="K20" i="11" s="1"/>
  <c r="U20" i="32"/>
  <c r="K22" i="9" s="1"/>
  <c r="N23" i="32"/>
  <c r="K25" i="10" s="1"/>
  <c r="B43" i="32"/>
  <c r="G25" i="32"/>
  <c r="AB19" i="32"/>
  <c r="K21" i="11" s="1"/>
  <c r="N22" i="32"/>
  <c r="K24" i="10" s="1"/>
  <c r="U23" i="32"/>
  <c r="K25" i="9" s="1"/>
  <c r="U16" i="32"/>
  <c r="K18" i="9" s="1"/>
  <c r="N20" i="32"/>
  <c r="K22" i="10" s="1"/>
  <c r="AB21" i="32"/>
  <c r="K23" i="11" s="1"/>
  <c r="U22" i="32"/>
  <c r="K24" i="9" s="1"/>
  <c r="AB24" i="32"/>
  <c r="K26" i="11" s="1"/>
  <c r="U6" i="32"/>
  <c r="AB9" i="32"/>
  <c r="K9" i="11" s="1"/>
  <c r="N9" i="32"/>
  <c r="N10" i="32"/>
  <c r="K10" i="10" s="1"/>
  <c r="N6" i="32"/>
  <c r="U10" i="32"/>
  <c r="K10" i="9" s="1"/>
  <c r="AB8" i="32"/>
  <c r="K8" i="11" s="1"/>
  <c r="N8" i="32"/>
  <c r="K8" i="10" s="1"/>
  <c r="U8" i="32"/>
  <c r="K8" i="9" s="1"/>
  <c r="G7" i="32"/>
  <c r="U7" i="32" s="1"/>
  <c r="K7" i="9" s="1"/>
  <c r="W43" i="32"/>
  <c r="N14" i="32"/>
  <c r="K16" i="10" s="1"/>
  <c r="T11" i="32"/>
  <c r="E4" i="19" s="1"/>
  <c r="J25" i="32"/>
  <c r="J43" i="32" s="1"/>
  <c r="U14" i="32"/>
  <c r="K16" i="9" s="1"/>
  <c r="U15" i="32"/>
  <c r="K17" i="9" s="1"/>
  <c r="M17" i="32"/>
  <c r="N17" i="32" s="1"/>
  <c r="K19" i="10" s="1"/>
  <c r="I25" i="32"/>
  <c r="I43" i="32" s="1"/>
  <c r="AA20" i="32"/>
  <c r="AB20" i="32" s="1"/>
  <c r="K22" i="11" s="1"/>
  <c r="AE37" i="32"/>
  <c r="AE43" i="32" s="1"/>
  <c r="N32" i="32"/>
  <c r="K36" i="10" s="1"/>
  <c r="AB34" i="32"/>
  <c r="K38" i="11" s="1"/>
  <c r="G42" i="32"/>
  <c r="AB14" i="32"/>
  <c r="K16" i="11" s="1"/>
  <c r="AB30" i="32"/>
  <c r="K34" i="11" s="1"/>
  <c r="AB40" i="32"/>
  <c r="AC25" i="32"/>
  <c r="AC43" i="32" s="1"/>
  <c r="V25" i="32"/>
  <c r="V43" i="32" s="1"/>
  <c r="U17" i="32"/>
  <c r="K19" i="9" s="1"/>
  <c r="S25" i="32"/>
  <c r="S43" i="32" s="1"/>
  <c r="N28" i="32"/>
  <c r="K32" i="10" s="1"/>
  <c r="AD37" i="32"/>
  <c r="AD43" i="32" s="1"/>
  <c r="N30" i="32"/>
  <c r="K34" i="10" s="1"/>
  <c r="AB32" i="32"/>
  <c r="K36" i="11" s="1"/>
  <c r="M37" i="32"/>
  <c r="M42" i="32"/>
  <c r="N40" i="32"/>
  <c r="Z43" i="32"/>
  <c r="AA15" i="32"/>
  <c r="W25" i="32"/>
  <c r="U28" i="32"/>
  <c r="K32" i="9" s="1"/>
  <c r="N34" i="32"/>
  <c r="K38" i="10" s="1"/>
  <c r="AB36" i="32"/>
  <c r="K40" i="11" s="1"/>
  <c r="T42" i="32"/>
  <c r="U41" i="32"/>
  <c r="AA42" i="32"/>
  <c r="AB28" i="32"/>
  <c r="K32" i="11" s="1"/>
  <c r="K9" i="9" l="1"/>
  <c r="K9" i="10"/>
  <c r="U3" i="20"/>
  <c r="AB42" i="32"/>
  <c r="C43" i="32"/>
  <c r="S3" i="23"/>
  <c r="E43" i="32"/>
  <c r="AB37" i="32"/>
  <c r="K41" i="11" s="1"/>
  <c r="U25" i="32"/>
  <c r="K27" i="9" s="1"/>
  <c r="N42" i="32"/>
  <c r="N37" i="32"/>
  <c r="K41" i="10" s="1"/>
  <c r="U37" i="32"/>
  <c r="K41" i="9" s="1"/>
  <c r="AB7" i="32"/>
  <c r="K7" i="11" s="1"/>
  <c r="G11" i="32"/>
  <c r="N7" i="32"/>
  <c r="M25" i="32"/>
  <c r="E3" i="22" s="1"/>
  <c r="AB15" i="32"/>
  <c r="K17" i="11" s="1"/>
  <c r="AA25" i="32"/>
  <c r="E5" i="22" s="1"/>
  <c r="U42" i="32"/>
  <c r="T43" i="32"/>
  <c r="AE41" i="31"/>
  <c r="AE40" i="31"/>
  <c r="AE36" i="31"/>
  <c r="AE35" i="31"/>
  <c r="AE34" i="31"/>
  <c r="AE33" i="31"/>
  <c r="AE32" i="31"/>
  <c r="AE31" i="31"/>
  <c r="AE30" i="31"/>
  <c r="AE29" i="31"/>
  <c r="AE28" i="31"/>
  <c r="AE22" i="31"/>
  <c r="AE24" i="31"/>
  <c r="AE21" i="31"/>
  <c r="AE17" i="31"/>
  <c r="AE15" i="31"/>
  <c r="AE10" i="31"/>
  <c r="AE9" i="31"/>
  <c r="AE8" i="31"/>
  <c r="AE7" i="31"/>
  <c r="AE6" i="31"/>
  <c r="AD41" i="31"/>
  <c r="AD40" i="31"/>
  <c r="AD36" i="31"/>
  <c r="AD35" i="31"/>
  <c r="AD34" i="31"/>
  <c r="AD33" i="31"/>
  <c r="AD32" i="31"/>
  <c r="AD31" i="31"/>
  <c r="AD30" i="31"/>
  <c r="AD29" i="31"/>
  <c r="AD28" i="31"/>
  <c r="AD22" i="31"/>
  <c r="AD15" i="31"/>
  <c r="AD10" i="31"/>
  <c r="AD9" i="31"/>
  <c r="AD8" i="31"/>
  <c r="AD7" i="31"/>
  <c r="AD6" i="31"/>
  <c r="G43" i="32" l="1"/>
  <c r="U3" i="17"/>
  <c r="I10" i="18"/>
  <c r="U43" i="32"/>
  <c r="U11" i="32"/>
  <c r="K11" i="9" s="1"/>
  <c r="N11" i="32"/>
  <c r="K11" i="10" s="1"/>
  <c r="AB11" i="32"/>
  <c r="K11" i="11" s="1"/>
  <c r="N25" i="32"/>
  <c r="K27" i="10" s="1"/>
  <c r="M43" i="32"/>
  <c r="N43" i="32" s="1"/>
  <c r="AB25" i="32"/>
  <c r="K27" i="11" s="1"/>
  <c r="AA43" i="32"/>
  <c r="AB43" i="32" s="1"/>
  <c r="AC41" i="31"/>
  <c r="AC40" i="31"/>
  <c r="AC36" i="31"/>
  <c r="AC35" i="31"/>
  <c r="AC34" i="31"/>
  <c r="AC33" i="31"/>
  <c r="AC32" i="31"/>
  <c r="AC31" i="31"/>
  <c r="AC30" i="31"/>
  <c r="AC29" i="31"/>
  <c r="AC10" i="31"/>
  <c r="AC9" i="31"/>
  <c r="AC8" i="31"/>
  <c r="AC7" i="31"/>
  <c r="AC6" i="31"/>
  <c r="AC11" i="31" s="1"/>
  <c r="Y19" i="31"/>
  <c r="Y25" i="31" s="1"/>
  <c r="Q25" i="31"/>
  <c r="AE42" i="31"/>
  <c r="AD42" i="31"/>
  <c r="AC42" i="31"/>
  <c r="Z42" i="31"/>
  <c r="X42" i="31"/>
  <c r="W42" i="31"/>
  <c r="V42" i="31"/>
  <c r="S42" i="31"/>
  <c r="R42" i="31"/>
  <c r="Q42" i="31"/>
  <c r="P42" i="31"/>
  <c r="O42" i="31"/>
  <c r="L42" i="31"/>
  <c r="K42" i="31"/>
  <c r="J42" i="31"/>
  <c r="I42" i="31"/>
  <c r="H42" i="31"/>
  <c r="F42" i="31"/>
  <c r="E42" i="31"/>
  <c r="D42" i="31"/>
  <c r="C42" i="31"/>
  <c r="B42" i="31"/>
  <c r="AA41" i="31"/>
  <c r="T41" i="31"/>
  <c r="M41" i="31"/>
  <c r="G41" i="31"/>
  <c r="Y42" i="31"/>
  <c r="T40" i="31"/>
  <c r="M40" i="31"/>
  <c r="M42" i="31" s="1"/>
  <c r="G40" i="31"/>
  <c r="AE37" i="31"/>
  <c r="AD37" i="31"/>
  <c r="Z37" i="31"/>
  <c r="Y37" i="31"/>
  <c r="X37" i="31"/>
  <c r="W37" i="31"/>
  <c r="V37" i="31"/>
  <c r="S37" i="31"/>
  <c r="R37" i="31"/>
  <c r="Q37" i="31"/>
  <c r="P37" i="31"/>
  <c r="O37" i="31"/>
  <c r="L37" i="31"/>
  <c r="K37" i="31"/>
  <c r="J37" i="31"/>
  <c r="I37" i="31"/>
  <c r="H37" i="31"/>
  <c r="F37" i="31"/>
  <c r="E9" i="24" s="1"/>
  <c r="E37" i="31"/>
  <c r="E8" i="24" s="1"/>
  <c r="D37" i="31"/>
  <c r="E7" i="24" s="1"/>
  <c r="C37" i="31"/>
  <c r="E6" i="24" s="1"/>
  <c r="B37" i="31"/>
  <c r="E5" i="24" s="1"/>
  <c r="AA36" i="31"/>
  <c r="T36" i="31"/>
  <c r="M36" i="31"/>
  <c r="G36" i="31"/>
  <c r="AA35" i="31"/>
  <c r="T35" i="31"/>
  <c r="M35" i="31"/>
  <c r="G35" i="31"/>
  <c r="AA34" i="31"/>
  <c r="T34" i="31"/>
  <c r="M34" i="31"/>
  <c r="G34" i="31"/>
  <c r="AA33" i="31"/>
  <c r="T33" i="31"/>
  <c r="M33" i="31"/>
  <c r="G33" i="31"/>
  <c r="AA32" i="31"/>
  <c r="T32" i="31"/>
  <c r="M32" i="31"/>
  <c r="G32" i="31"/>
  <c r="AA31" i="31"/>
  <c r="T31" i="31"/>
  <c r="M31" i="31"/>
  <c r="G31" i="31"/>
  <c r="AA30" i="31"/>
  <c r="T30" i="31"/>
  <c r="M30" i="31"/>
  <c r="G30" i="31"/>
  <c r="AA29" i="31"/>
  <c r="AB29" i="31" s="1"/>
  <c r="J33" i="11" s="1"/>
  <c r="T29" i="31"/>
  <c r="U29" i="31" s="1"/>
  <c r="J33" i="9" s="1"/>
  <c r="M29" i="31"/>
  <c r="G29" i="31"/>
  <c r="AA28" i="31"/>
  <c r="T28" i="31"/>
  <c r="M28" i="31"/>
  <c r="G28" i="31"/>
  <c r="AE25" i="31"/>
  <c r="R25" i="31"/>
  <c r="O25" i="31"/>
  <c r="H25" i="31"/>
  <c r="F25" i="31"/>
  <c r="E9" i="21" s="1"/>
  <c r="E25" i="31"/>
  <c r="E8" i="21" s="1"/>
  <c r="D25" i="31"/>
  <c r="E7" i="21" s="1"/>
  <c r="C25" i="31"/>
  <c r="E6" i="21" s="1"/>
  <c r="B25" i="31"/>
  <c r="E5" i="21" s="1"/>
  <c r="Z24" i="31"/>
  <c r="AA24" i="31" s="1"/>
  <c r="T24" i="31"/>
  <c r="M24" i="31"/>
  <c r="N24" i="31" s="1"/>
  <c r="J26" i="10" s="1"/>
  <c r="B26" i="10" s="1"/>
  <c r="G24" i="31"/>
  <c r="Z23" i="31"/>
  <c r="W23" i="31"/>
  <c r="AA23" i="31"/>
  <c r="S23" i="31"/>
  <c r="T23" i="31" s="1"/>
  <c r="L23" i="31"/>
  <c r="K23" i="31"/>
  <c r="K25" i="31" s="1"/>
  <c r="J23" i="31"/>
  <c r="I23" i="31"/>
  <c r="M23" i="31" s="1"/>
  <c r="G23" i="31"/>
  <c r="AA22" i="31"/>
  <c r="AB22" i="31" s="1"/>
  <c r="J24" i="11" s="1"/>
  <c r="B24" i="11" s="1"/>
  <c r="T22" i="31"/>
  <c r="U22" i="31" s="1"/>
  <c r="J24" i="9" s="1"/>
  <c r="B24" i="9" s="1"/>
  <c r="M22" i="31"/>
  <c r="G22" i="31"/>
  <c r="W21" i="31"/>
  <c r="AA21" i="31"/>
  <c r="T21" i="31"/>
  <c r="I21" i="31"/>
  <c r="M21" i="31" s="1"/>
  <c r="N21" i="31" s="1"/>
  <c r="J23" i="10" s="1"/>
  <c r="B23" i="10" s="1"/>
  <c r="G21" i="31"/>
  <c r="AC20" i="31"/>
  <c r="Z20" i="31"/>
  <c r="X20" i="31"/>
  <c r="W20" i="31"/>
  <c r="V20" i="31"/>
  <c r="S20" i="31"/>
  <c r="T20" i="31"/>
  <c r="L20" i="31"/>
  <c r="J20" i="31"/>
  <c r="I20" i="31"/>
  <c r="G20" i="31"/>
  <c r="AC19" i="31"/>
  <c r="Z19" i="31"/>
  <c r="X19" i="31"/>
  <c r="W19" i="31"/>
  <c r="V19" i="31"/>
  <c r="S19" i="31"/>
  <c r="T19" i="31" s="1"/>
  <c r="L19" i="31"/>
  <c r="I19" i="31"/>
  <c r="M19" i="31" s="1"/>
  <c r="G19" i="31"/>
  <c r="AC18" i="31"/>
  <c r="Z18" i="31"/>
  <c r="W18" i="31"/>
  <c r="S18" i="31"/>
  <c r="T18" i="31" s="1"/>
  <c r="L18" i="31"/>
  <c r="J18" i="31"/>
  <c r="I18" i="31"/>
  <c r="M18" i="31" s="1"/>
  <c r="G18" i="31"/>
  <c r="AC17" i="31"/>
  <c r="Z17" i="31"/>
  <c r="W17" i="31"/>
  <c r="V17" i="31"/>
  <c r="AA17" i="31" s="1"/>
  <c r="S17" i="31"/>
  <c r="T17" i="31"/>
  <c r="L17" i="31"/>
  <c r="I17" i="31"/>
  <c r="M17" i="31" s="1"/>
  <c r="G17" i="31"/>
  <c r="AC16" i="31"/>
  <c r="W16" i="31"/>
  <c r="V16" i="31"/>
  <c r="AA16" i="31" s="1"/>
  <c r="S16" i="31"/>
  <c r="T16" i="31"/>
  <c r="L16" i="31"/>
  <c r="J16" i="31"/>
  <c r="I16" i="31"/>
  <c r="M16" i="31" s="1"/>
  <c r="G16" i="31"/>
  <c r="Z15" i="31"/>
  <c r="W15" i="31"/>
  <c r="AA15" i="31"/>
  <c r="T15" i="31"/>
  <c r="U15" i="31" s="1"/>
  <c r="J17" i="9" s="1"/>
  <c r="B17" i="9" s="1"/>
  <c r="I15" i="31"/>
  <c r="M15" i="31" s="1"/>
  <c r="N15" i="31" s="1"/>
  <c r="J17" i="10" s="1"/>
  <c r="B17" i="10" s="1"/>
  <c r="G15" i="31"/>
  <c r="AD25" i="31"/>
  <c r="AC14" i="31"/>
  <c r="W14" i="31"/>
  <c r="T14" i="31"/>
  <c r="L14" i="31"/>
  <c r="J14" i="31"/>
  <c r="I14" i="31"/>
  <c r="G14" i="31"/>
  <c r="AE11" i="31"/>
  <c r="AD11" i="31"/>
  <c r="Z11" i="31"/>
  <c r="Y11" i="31"/>
  <c r="X11" i="31"/>
  <c r="V11" i="31"/>
  <c r="S11" i="31"/>
  <c r="R11" i="31"/>
  <c r="Q11" i="31"/>
  <c r="P11" i="31"/>
  <c r="O11" i="31"/>
  <c r="I11" i="31"/>
  <c r="H11" i="31"/>
  <c r="F11" i="31"/>
  <c r="H9" i="18" s="1"/>
  <c r="E11" i="31"/>
  <c r="H8" i="18" s="1"/>
  <c r="D11" i="31"/>
  <c r="H7" i="18" s="1"/>
  <c r="C11" i="31"/>
  <c r="H6" i="18" s="1"/>
  <c r="B11" i="31"/>
  <c r="H5" i="18" s="1"/>
  <c r="AA10" i="31"/>
  <c r="AB10" i="31" s="1"/>
  <c r="J10" i="11" s="1"/>
  <c r="B10" i="11" s="1"/>
  <c r="T10" i="31"/>
  <c r="M10" i="31"/>
  <c r="G10" i="31"/>
  <c r="AA9" i="31"/>
  <c r="T9" i="31"/>
  <c r="M9" i="31"/>
  <c r="G9" i="31"/>
  <c r="AA8" i="31"/>
  <c r="T8" i="31"/>
  <c r="L11" i="31"/>
  <c r="M8" i="31"/>
  <c r="G8" i="31"/>
  <c r="AA7" i="31"/>
  <c r="T7" i="31"/>
  <c r="M7" i="31"/>
  <c r="G7" i="31"/>
  <c r="AA6" i="31"/>
  <c r="T6" i="31"/>
  <c r="K11" i="31"/>
  <c r="J11" i="31"/>
  <c r="G6" i="31"/>
  <c r="E10" i="21" l="1"/>
  <c r="H10" i="18"/>
  <c r="L25" i="31"/>
  <c r="AA20" i="31"/>
  <c r="J25" i="31"/>
  <c r="AB23" i="31"/>
  <c r="J25" i="11" s="1"/>
  <c r="B25" i="11" s="1"/>
  <c r="U35" i="31"/>
  <c r="J39" i="9" s="1"/>
  <c r="I25" i="31"/>
  <c r="W25" i="31"/>
  <c r="X25" i="31"/>
  <c r="AB35" i="31"/>
  <c r="J39" i="11" s="1"/>
  <c r="AC37" i="31"/>
  <c r="V25" i="31"/>
  <c r="S25" i="31"/>
  <c r="S43" i="31" s="1"/>
  <c r="U21" i="31"/>
  <c r="J23" i="9" s="1"/>
  <c r="B23" i="9" s="1"/>
  <c r="U41" i="31"/>
  <c r="AB16" i="31"/>
  <c r="J18" i="11" s="1"/>
  <c r="B18" i="11" s="1"/>
  <c r="V43" i="31"/>
  <c r="U36" i="31"/>
  <c r="J40" i="9" s="1"/>
  <c r="AC25" i="31"/>
  <c r="M20" i="31"/>
  <c r="Z25" i="31"/>
  <c r="AA19" i="31"/>
  <c r="AA14" i="31"/>
  <c r="AA25" i="31" s="1"/>
  <c r="D5" i="22" s="1"/>
  <c r="AA18" i="31"/>
  <c r="E10" i="24"/>
  <c r="AE43" i="31"/>
  <c r="AD43" i="31"/>
  <c r="AC43" i="31"/>
  <c r="Z43" i="31"/>
  <c r="Y43" i="31"/>
  <c r="AB32" i="31"/>
  <c r="J36" i="11" s="1"/>
  <c r="X43" i="31"/>
  <c r="AB36" i="31"/>
  <c r="J40" i="11" s="1"/>
  <c r="AB28" i="31"/>
  <c r="J32" i="11" s="1"/>
  <c r="R43" i="31"/>
  <c r="Q43" i="31"/>
  <c r="U9" i="31"/>
  <c r="J9" i="9" s="1"/>
  <c r="T42" i="31"/>
  <c r="T11" i="31"/>
  <c r="D4" i="19" s="1"/>
  <c r="U8" i="31"/>
  <c r="J8" i="9" s="1"/>
  <c r="O43" i="31"/>
  <c r="U34" i="31"/>
  <c r="J38" i="9" s="1"/>
  <c r="U30" i="31"/>
  <c r="J34" i="9" s="1"/>
  <c r="U24" i="31"/>
  <c r="J26" i="9" s="1"/>
  <c r="B26" i="9" s="1"/>
  <c r="L43" i="31"/>
  <c r="K43" i="31"/>
  <c r="J43" i="31"/>
  <c r="H43" i="31"/>
  <c r="M37" i="31"/>
  <c r="N7" i="31"/>
  <c r="J7" i="10" s="1"/>
  <c r="B7" i="10" s="1"/>
  <c r="F43" i="31"/>
  <c r="U18" i="31"/>
  <c r="J20" i="9" s="1"/>
  <c r="B20" i="9" s="1"/>
  <c r="AB20" i="31"/>
  <c r="J22" i="11" s="1"/>
  <c r="B22" i="11" s="1"/>
  <c r="U20" i="31"/>
  <c r="J22" i="9" s="1"/>
  <c r="B22" i="9" s="1"/>
  <c r="N20" i="31"/>
  <c r="J22" i="10" s="1"/>
  <c r="B22" i="10" s="1"/>
  <c r="AB41" i="31"/>
  <c r="G42" i="31"/>
  <c r="N23" i="31"/>
  <c r="J25" i="10" s="1"/>
  <c r="B25" i="10" s="1"/>
  <c r="U23" i="31"/>
  <c r="J25" i="9" s="1"/>
  <c r="B25" i="9" s="1"/>
  <c r="N18" i="31"/>
  <c r="J20" i="10" s="1"/>
  <c r="B20" i="10" s="1"/>
  <c r="AB18" i="31"/>
  <c r="J20" i="11" s="1"/>
  <c r="B20" i="11" s="1"/>
  <c r="C43" i="31"/>
  <c r="N41" i="31"/>
  <c r="N35" i="31"/>
  <c r="J39" i="10" s="1"/>
  <c r="AB34" i="31"/>
  <c r="J38" i="11" s="1"/>
  <c r="N34" i="31"/>
  <c r="J38" i="10" s="1"/>
  <c r="N33" i="31"/>
  <c r="J37" i="10" s="1"/>
  <c r="U33" i="31"/>
  <c r="J37" i="9" s="1"/>
  <c r="AB33" i="31"/>
  <c r="J37" i="11" s="1"/>
  <c r="N31" i="31"/>
  <c r="J35" i="10" s="1"/>
  <c r="U31" i="31"/>
  <c r="J35" i="9" s="1"/>
  <c r="AB31" i="31"/>
  <c r="J35" i="11" s="1"/>
  <c r="AB30" i="31"/>
  <c r="J34" i="11" s="1"/>
  <c r="N30" i="31"/>
  <c r="J34" i="10" s="1"/>
  <c r="AB24" i="31"/>
  <c r="J26" i="11" s="1"/>
  <c r="B26" i="11" s="1"/>
  <c r="N22" i="31"/>
  <c r="J24" i="10" s="1"/>
  <c r="B24" i="10" s="1"/>
  <c r="AB21" i="31"/>
  <c r="J23" i="11" s="1"/>
  <c r="B23" i="11" s="1"/>
  <c r="U19" i="31"/>
  <c r="J21" i="9" s="1"/>
  <c r="B21" i="9" s="1"/>
  <c r="N19" i="31"/>
  <c r="J21" i="10" s="1"/>
  <c r="B21" i="10" s="1"/>
  <c r="AB19" i="31"/>
  <c r="J21" i="11" s="1"/>
  <c r="B21" i="11" s="1"/>
  <c r="N17" i="31"/>
  <c r="J19" i="10" s="1"/>
  <c r="B19" i="10" s="1"/>
  <c r="AB17" i="31"/>
  <c r="J19" i="11" s="1"/>
  <c r="B19" i="11" s="1"/>
  <c r="U17" i="31"/>
  <c r="J19" i="9" s="1"/>
  <c r="B19" i="9" s="1"/>
  <c r="U16" i="31"/>
  <c r="J18" i="9" s="1"/>
  <c r="B18" i="9" s="1"/>
  <c r="G25" i="31"/>
  <c r="T3" i="20" s="1"/>
  <c r="N16" i="31"/>
  <c r="J18" i="10" s="1"/>
  <c r="B18" i="10" s="1"/>
  <c r="AB15" i="31"/>
  <c r="J17" i="11" s="1"/>
  <c r="B17" i="11" s="1"/>
  <c r="B43" i="31"/>
  <c r="D43" i="31"/>
  <c r="AB8" i="31"/>
  <c r="J8" i="11" s="1"/>
  <c r="B8" i="11" s="1"/>
  <c r="N8" i="31"/>
  <c r="J8" i="10" s="1"/>
  <c r="B8" i="10" s="1"/>
  <c r="AB6" i="31"/>
  <c r="J6" i="11" s="1"/>
  <c r="B6" i="11" s="1"/>
  <c r="N10" i="31"/>
  <c r="J10" i="10" s="1"/>
  <c r="B10" i="10" s="1"/>
  <c r="U10" i="31"/>
  <c r="J10" i="9" s="1"/>
  <c r="N9" i="31"/>
  <c r="J9" i="10" s="1"/>
  <c r="B9" i="10" s="1"/>
  <c r="AB9" i="31"/>
  <c r="J9" i="11" s="1"/>
  <c r="B9" i="11" s="1"/>
  <c r="AB7" i="31"/>
  <c r="J7" i="11" s="1"/>
  <c r="B7" i="11" s="1"/>
  <c r="G11" i="31"/>
  <c r="T3" i="17" s="1"/>
  <c r="U6" i="31"/>
  <c r="J6" i="9" s="1"/>
  <c r="T25" i="31"/>
  <c r="U14" i="31"/>
  <c r="J16" i="9" s="1"/>
  <c r="B16" i="9" s="1"/>
  <c r="I43" i="31"/>
  <c r="U7" i="31"/>
  <c r="J7" i="9" s="1"/>
  <c r="M14" i="31"/>
  <c r="U28" i="31"/>
  <c r="J32" i="9" s="1"/>
  <c r="U32" i="31"/>
  <c r="J36" i="9" s="1"/>
  <c r="G37" i="31"/>
  <c r="R3" i="23" s="1"/>
  <c r="AA37" i="31"/>
  <c r="M6" i="31"/>
  <c r="AB14" i="31"/>
  <c r="J16" i="11" s="1"/>
  <c r="B16" i="11" s="1"/>
  <c r="N29" i="31"/>
  <c r="J33" i="10" s="1"/>
  <c r="T37" i="31"/>
  <c r="U40" i="31"/>
  <c r="AA11" i="31"/>
  <c r="D5" i="19" s="1"/>
  <c r="N28" i="31"/>
  <c r="J32" i="10" s="1"/>
  <c r="N32" i="31"/>
  <c r="J36" i="10" s="1"/>
  <c r="N36" i="31"/>
  <c r="J40" i="10" s="1"/>
  <c r="P25" i="31"/>
  <c r="P43" i="31" s="1"/>
  <c r="W11" i="31"/>
  <c r="W43" i="31" s="1"/>
  <c r="N40" i="31"/>
  <c r="AA40" i="31"/>
  <c r="U25" i="31" l="1"/>
  <c r="J27" i="9" s="1"/>
  <c r="B27" i="9" s="1"/>
  <c r="D4" i="22"/>
  <c r="U42" i="31"/>
  <c r="U11" i="31"/>
  <c r="J11" i="9" s="1"/>
  <c r="N37" i="31"/>
  <c r="J41" i="10" s="1"/>
  <c r="N42" i="31"/>
  <c r="U37" i="31"/>
  <c r="J41" i="9" s="1"/>
  <c r="AB37" i="31"/>
  <c r="J41" i="11" s="1"/>
  <c r="AB25" i="31"/>
  <c r="J27" i="11" s="1"/>
  <c r="B27" i="11" s="1"/>
  <c r="E43" i="31"/>
  <c r="G43" i="31"/>
  <c r="AB11" i="31"/>
  <c r="J11" i="11" s="1"/>
  <c r="B11" i="11" s="1"/>
  <c r="AA42" i="31"/>
  <c r="AB42" i="31" s="1"/>
  <c r="AB40" i="31"/>
  <c r="N6" i="31"/>
  <c r="J6" i="10" s="1"/>
  <c r="B6" i="10" s="1"/>
  <c r="M11" i="31"/>
  <c r="D3" i="19" s="1"/>
  <c r="T43" i="31"/>
  <c r="M25" i="31"/>
  <c r="N14" i="31"/>
  <c r="J16" i="10" s="1"/>
  <c r="AE42" i="30"/>
  <c r="O11" i="30"/>
  <c r="N25" i="31" l="1"/>
  <c r="J27" i="10" s="1"/>
  <c r="B27" i="10" s="1"/>
  <c r="D3" i="22"/>
  <c r="U43" i="31"/>
  <c r="M43" i="31"/>
  <c r="N43" i="31" s="1"/>
  <c r="N11" i="31"/>
  <c r="J11" i="10" s="1"/>
  <c r="B11" i="10" s="1"/>
  <c r="AA43" i="31"/>
  <c r="AB43" i="31" s="1"/>
  <c r="V42" i="29"/>
  <c r="AD42" i="30" l="1"/>
  <c r="AC42" i="30"/>
  <c r="Z42" i="30"/>
  <c r="X42" i="30"/>
  <c r="W42" i="30"/>
  <c r="V42" i="30"/>
  <c r="S42" i="30"/>
  <c r="R42" i="30"/>
  <c r="Q42" i="30"/>
  <c r="P42" i="30"/>
  <c r="O42" i="30"/>
  <c r="L42" i="30"/>
  <c r="K42" i="30"/>
  <c r="J42" i="30"/>
  <c r="I42" i="30"/>
  <c r="H42" i="30"/>
  <c r="F42" i="30"/>
  <c r="E42" i="30"/>
  <c r="D42" i="30"/>
  <c r="C42" i="30"/>
  <c r="B42" i="30"/>
  <c r="AA41" i="30"/>
  <c r="T41" i="30"/>
  <c r="M41" i="30"/>
  <c r="G41" i="30"/>
  <c r="Y40" i="30"/>
  <c r="Y42" i="30" s="1"/>
  <c r="T40" i="30"/>
  <c r="M40" i="30"/>
  <c r="M42" i="30" s="1"/>
  <c r="G40" i="30"/>
  <c r="AE37" i="30"/>
  <c r="AD37" i="30"/>
  <c r="AC37" i="30"/>
  <c r="Z37" i="30"/>
  <c r="Y37" i="30"/>
  <c r="X37" i="30"/>
  <c r="W37" i="30"/>
  <c r="V37" i="30"/>
  <c r="S37" i="30"/>
  <c r="R37" i="30"/>
  <c r="Q37" i="30"/>
  <c r="P37" i="30"/>
  <c r="O37" i="30"/>
  <c r="L37" i="30"/>
  <c r="K37" i="30"/>
  <c r="J37" i="30"/>
  <c r="I37" i="30"/>
  <c r="H37" i="30"/>
  <c r="F37" i="30"/>
  <c r="E37" i="30"/>
  <c r="D37" i="30"/>
  <c r="C37" i="30"/>
  <c r="B37" i="30"/>
  <c r="AA36" i="30"/>
  <c r="T36" i="30"/>
  <c r="M36" i="30"/>
  <c r="G36" i="30"/>
  <c r="AA35" i="30"/>
  <c r="T35" i="30"/>
  <c r="M35" i="30"/>
  <c r="G35" i="30"/>
  <c r="AA34" i="30"/>
  <c r="T34" i="30"/>
  <c r="M34" i="30"/>
  <c r="G34" i="30"/>
  <c r="AA33" i="30"/>
  <c r="T33" i="30"/>
  <c r="M33" i="30"/>
  <c r="G33" i="30"/>
  <c r="AA32" i="30"/>
  <c r="T32" i="30"/>
  <c r="M32" i="30"/>
  <c r="G32" i="30"/>
  <c r="AA31" i="30"/>
  <c r="T31" i="30"/>
  <c r="M31" i="30"/>
  <c r="G31" i="30"/>
  <c r="AA30" i="30"/>
  <c r="T30" i="30"/>
  <c r="M30" i="30"/>
  <c r="G30" i="30"/>
  <c r="AA29" i="30"/>
  <c r="T29" i="30"/>
  <c r="M29" i="30"/>
  <c r="G29" i="30"/>
  <c r="AA28" i="30"/>
  <c r="T28" i="30"/>
  <c r="M28" i="30"/>
  <c r="G28" i="30"/>
  <c r="AE25" i="30"/>
  <c r="R25" i="30"/>
  <c r="Q25" i="30"/>
  <c r="O25" i="30"/>
  <c r="H25" i="30"/>
  <c r="F25" i="30"/>
  <c r="E25" i="30"/>
  <c r="D25" i="30"/>
  <c r="C25" i="30"/>
  <c r="B25" i="30"/>
  <c r="Z24" i="30"/>
  <c r="AA24" i="30"/>
  <c r="T24" i="30"/>
  <c r="M24" i="30"/>
  <c r="G24" i="30"/>
  <c r="AD23" i="30"/>
  <c r="Z23" i="30"/>
  <c r="Y23" i="30"/>
  <c r="W23" i="30"/>
  <c r="V23" i="30"/>
  <c r="AA23" i="30" s="1"/>
  <c r="S23" i="30"/>
  <c r="P23" i="30"/>
  <c r="T23" i="30" s="1"/>
  <c r="L23" i="30"/>
  <c r="K23" i="30"/>
  <c r="J23" i="30"/>
  <c r="I23" i="30"/>
  <c r="G23" i="30"/>
  <c r="AA22" i="30"/>
  <c r="T22" i="30"/>
  <c r="M22" i="30"/>
  <c r="G22" i="30"/>
  <c r="AC21" i="30"/>
  <c r="W21" i="30"/>
  <c r="V21" i="30"/>
  <c r="T21" i="30"/>
  <c r="I21" i="30"/>
  <c r="M21" i="30" s="1"/>
  <c r="G21" i="30"/>
  <c r="AD20" i="30"/>
  <c r="AC20" i="30"/>
  <c r="Z20" i="30"/>
  <c r="Y20" i="30"/>
  <c r="X20" i="30"/>
  <c r="W20" i="30"/>
  <c r="V20" i="30"/>
  <c r="AA20" i="30" s="1"/>
  <c r="S20" i="30"/>
  <c r="P20" i="30"/>
  <c r="T20" i="30" s="1"/>
  <c r="L20" i="30"/>
  <c r="J20" i="30"/>
  <c r="M20" i="30" s="1"/>
  <c r="I20" i="30"/>
  <c r="G20" i="30"/>
  <c r="AD19" i="30"/>
  <c r="AC19" i="30"/>
  <c r="Z19" i="30"/>
  <c r="Y19" i="30"/>
  <c r="X19" i="30"/>
  <c r="W19" i="30"/>
  <c r="V19" i="30"/>
  <c r="S19" i="30"/>
  <c r="P19" i="30"/>
  <c r="T19" i="30" s="1"/>
  <c r="L19" i="30"/>
  <c r="I19" i="30"/>
  <c r="G19" i="30"/>
  <c r="AD18" i="30"/>
  <c r="AC18" i="30"/>
  <c r="Z18" i="30"/>
  <c r="Y18" i="30"/>
  <c r="W18" i="30"/>
  <c r="AA18" i="30" s="1"/>
  <c r="S18" i="30"/>
  <c r="P18" i="30"/>
  <c r="T18" i="30" s="1"/>
  <c r="L18" i="30"/>
  <c r="J18" i="30"/>
  <c r="I18" i="30"/>
  <c r="G18" i="30"/>
  <c r="AD17" i="30"/>
  <c r="AC17" i="30"/>
  <c r="Z17" i="30"/>
  <c r="Y17" i="30"/>
  <c r="W17" i="30"/>
  <c r="V17" i="30"/>
  <c r="S17" i="30"/>
  <c r="P17" i="30"/>
  <c r="T17" i="30" s="1"/>
  <c r="L17" i="30"/>
  <c r="I17" i="30"/>
  <c r="M17" i="30" s="1"/>
  <c r="G17" i="30"/>
  <c r="AD16" i="30"/>
  <c r="AC16" i="30"/>
  <c r="W16" i="30"/>
  <c r="V16" i="30"/>
  <c r="S16" i="30"/>
  <c r="P16" i="30"/>
  <c r="T16" i="30" s="1"/>
  <c r="L16" i="30"/>
  <c r="J16" i="30"/>
  <c r="I16" i="30"/>
  <c r="G16" i="30"/>
  <c r="Z15" i="30"/>
  <c r="W15" i="30"/>
  <c r="V15" i="30"/>
  <c r="T15" i="30"/>
  <c r="I15" i="30"/>
  <c r="M15" i="30" s="1"/>
  <c r="G15" i="30"/>
  <c r="AD14" i="30"/>
  <c r="AC14" i="30"/>
  <c r="AC25" i="30" s="1"/>
  <c r="Y14" i="30"/>
  <c r="W14" i="30"/>
  <c r="V14" i="30"/>
  <c r="AA14" i="30" s="1"/>
  <c r="P14" i="30"/>
  <c r="L14" i="30"/>
  <c r="K14" i="30"/>
  <c r="K25" i="30" s="1"/>
  <c r="J14" i="30"/>
  <c r="I14" i="30"/>
  <c r="G14" i="30"/>
  <c r="AE11" i="30"/>
  <c r="AD11" i="30"/>
  <c r="Z11" i="30"/>
  <c r="Y11" i="30"/>
  <c r="X11" i="30"/>
  <c r="V11" i="30"/>
  <c r="S11" i="30"/>
  <c r="R11" i="30"/>
  <c r="Q11" i="30"/>
  <c r="P11" i="30"/>
  <c r="I11" i="30"/>
  <c r="H11" i="30"/>
  <c r="F11" i="30"/>
  <c r="E11" i="30"/>
  <c r="D11" i="30"/>
  <c r="C11" i="30"/>
  <c r="B11" i="30"/>
  <c r="W10" i="30"/>
  <c r="AA10" i="30" s="1"/>
  <c r="T10" i="30"/>
  <c r="M10" i="30"/>
  <c r="G10" i="30"/>
  <c r="AC9" i="30"/>
  <c r="AC11" i="30" s="1"/>
  <c r="W9" i="30"/>
  <c r="AA9" i="30" s="1"/>
  <c r="T9" i="30"/>
  <c r="L9" i="30"/>
  <c r="K9" i="30"/>
  <c r="G9" i="30"/>
  <c r="W8" i="30"/>
  <c r="AA8" i="30" s="1"/>
  <c r="T8" i="30"/>
  <c r="L8" i="30"/>
  <c r="K8" i="30"/>
  <c r="M8" i="30" s="1"/>
  <c r="G8" i="30"/>
  <c r="W7" i="30"/>
  <c r="AA7" i="30" s="1"/>
  <c r="T7" i="30"/>
  <c r="M7" i="30"/>
  <c r="G7" i="30"/>
  <c r="W6" i="30"/>
  <c r="AA6" i="30" s="1"/>
  <c r="T6" i="30"/>
  <c r="K6" i="30"/>
  <c r="J6" i="30"/>
  <c r="J11" i="30" s="1"/>
  <c r="G6" i="30"/>
  <c r="N40" i="30" l="1"/>
  <c r="AA40" i="30"/>
  <c r="AB36" i="30"/>
  <c r="Z25" i="30"/>
  <c r="U19" i="30"/>
  <c r="U15" i="30"/>
  <c r="L11" i="30"/>
  <c r="AA16" i="30"/>
  <c r="AB16" i="30" s="1"/>
  <c r="AA19" i="30"/>
  <c r="AB19" i="30" s="1"/>
  <c r="AE43" i="30"/>
  <c r="AA42" i="30"/>
  <c r="AB22" i="30"/>
  <c r="U41" i="30"/>
  <c r="T42" i="30"/>
  <c r="R43" i="30"/>
  <c r="Q43" i="30"/>
  <c r="U24" i="30"/>
  <c r="U10" i="30"/>
  <c r="AB41" i="30"/>
  <c r="AB34" i="30"/>
  <c r="AB28" i="30"/>
  <c r="D43" i="30"/>
  <c r="AB18" i="30"/>
  <c r="U9" i="30"/>
  <c r="U30" i="30"/>
  <c r="AB30" i="30"/>
  <c r="N21" i="30"/>
  <c r="U21" i="30"/>
  <c r="U6" i="30"/>
  <c r="AB33" i="30"/>
  <c r="N33" i="30"/>
  <c r="G37" i="30"/>
  <c r="N32" i="30"/>
  <c r="U32" i="30"/>
  <c r="AB32" i="30"/>
  <c r="N30" i="30"/>
  <c r="AB29" i="30"/>
  <c r="N29" i="30"/>
  <c r="AB24" i="30"/>
  <c r="AB23" i="30"/>
  <c r="N22" i="30"/>
  <c r="N20" i="30"/>
  <c r="AB20" i="30"/>
  <c r="U17" i="30"/>
  <c r="G25" i="30"/>
  <c r="S3" i="20" s="1"/>
  <c r="N15" i="30"/>
  <c r="N10" i="30"/>
  <c r="AB10" i="30"/>
  <c r="AB9" i="30"/>
  <c r="N8" i="30"/>
  <c r="G11" i="30"/>
  <c r="AB8" i="30"/>
  <c r="L25" i="30"/>
  <c r="L43" i="30" s="1"/>
  <c r="AD25" i="30"/>
  <c r="AD43" i="30" s="1"/>
  <c r="AB35" i="30"/>
  <c r="U7" i="30"/>
  <c r="B43" i="30"/>
  <c r="O43" i="30"/>
  <c r="X25" i="30"/>
  <c r="X43" i="30" s="1"/>
  <c r="AA15" i="30"/>
  <c r="AB15" i="30" s="1"/>
  <c r="M16" i="30"/>
  <c r="N16" i="30" s="1"/>
  <c r="U16" i="30"/>
  <c r="N17" i="30"/>
  <c r="AA17" i="30"/>
  <c r="AB17" i="30" s="1"/>
  <c r="M18" i="30"/>
  <c r="N18" i="30" s="1"/>
  <c r="U18" i="30"/>
  <c r="U20" i="30"/>
  <c r="M23" i="30"/>
  <c r="N23" i="30" s="1"/>
  <c r="U23" i="30"/>
  <c r="N24" i="30"/>
  <c r="M37" i="30"/>
  <c r="N34" i="30"/>
  <c r="N36" i="30"/>
  <c r="N41" i="30"/>
  <c r="U8" i="30"/>
  <c r="N7" i="30"/>
  <c r="W25" i="30"/>
  <c r="U29" i="30"/>
  <c r="J43" i="30"/>
  <c r="F43" i="30"/>
  <c r="M14" i="30"/>
  <c r="P25" i="30"/>
  <c r="P43" i="30" s="1"/>
  <c r="M6" i="30"/>
  <c r="AB7" i="30"/>
  <c r="M9" i="30"/>
  <c r="N9" i="30" s="1"/>
  <c r="C43" i="30"/>
  <c r="H43" i="30"/>
  <c r="J25" i="30"/>
  <c r="T14" i="30"/>
  <c r="U14" i="30" s="1"/>
  <c r="Y25" i="30"/>
  <c r="Y43" i="30" s="1"/>
  <c r="S25" i="30"/>
  <c r="S43" i="30" s="1"/>
  <c r="M19" i="30"/>
  <c r="N19" i="30" s="1"/>
  <c r="AA21" i="30"/>
  <c r="AB21" i="30" s="1"/>
  <c r="U22" i="30"/>
  <c r="T37" i="30"/>
  <c r="AB31" i="30"/>
  <c r="U33" i="30"/>
  <c r="U34" i="30"/>
  <c r="U36" i="30"/>
  <c r="AA11" i="30"/>
  <c r="AB6" i="30"/>
  <c r="AC43" i="30"/>
  <c r="AB14" i="30"/>
  <c r="Z43" i="30"/>
  <c r="N14" i="30"/>
  <c r="K11" i="30"/>
  <c r="K43" i="30" s="1"/>
  <c r="W11" i="30"/>
  <c r="U28" i="30"/>
  <c r="AA37" i="30"/>
  <c r="AB40" i="30"/>
  <c r="T11" i="30"/>
  <c r="I25" i="30"/>
  <c r="I43" i="30" s="1"/>
  <c r="U31" i="30"/>
  <c r="U35" i="30"/>
  <c r="U40" i="30"/>
  <c r="G42" i="30"/>
  <c r="V25" i="30"/>
  <c r="V43" i="30" s="1"/>
  <c r="N28" i="30"/>
  <c r="N31" i="30"/>
  <c r="N35" i="30"/>
  <c r="AE42" i="29"/>
  <c r="AD42" i="29"/>
  <c r="AC42" i="29"/>
  <c r="Z42" i="29"/>
  <c r="X42" i="29"/>
  <c r="W42" i="29"/>
  <c r="S42" i="29"/>
  <c r="R42" i="29"/>
  <c r="Q42" i="29"/>
  <c r="P42" i="29"/>
  <c r="O42" i="29"/>
  <c r="L42" i="29"/>
  <c r="K42" i="29"/>
  <c r="J42" i="29"/>
  <c r="I42" i="29"/>
  <c r="H42" i="29"/>
  <c r="F42" i="29"/>
  <c r="E42" i="29"/>
  <c r="D42" i="29"/>
  <c r="C42" i="29"/>
  <c r="B42" i="29"/>
  <c r="AA41" i="29"/>
  <c r="T41" i="29"/>
  <c r="M41" i="29"/>
  <c r="G41" i="29"/>
  <c r="Y42" i="29"/>
  <c r="T40" i="29"/>
  <c r="T42" i="29" s="1"/>
  <c r="M40" i="29"/>
  <c r="M42" i="29" s="1"/>
  <c r="G40" i="29"/>
  <c r="AE37" i="29"/>
  <c r="AD37" i="29"/>
  <c r="AC37" i="29"/>
  <c r="Z37" i="29"/>
  <c r="Y37" i="29"/>
  <c r="X37" i="29"/>
  <c r="W37" i="29"/>
  <c r="V37" i="29"/>
  <c r="S37" i="29"/>
  <c r="R37" i="29"/>
  <c r="Q37" i="29"/>
  <c r="P37" i="29"/>
  <c r="O37" i="29"/>
  <c r="L37" i="29"/>
  <c r="K37" i="29"/>
  <c r="J37" i="29"/>
  <c r="I37" i="29"/>
  <c r="H37" i="29"/>
  <c r="F37" i="29"/>
  <c r="E37" i="29"/>
  <c r="D37" i="29"/>
  <c r="C37" i="29"/>
  <c r="B37" i="29"/>
  <c r="AA36" i="29"/>
  <c r="T36" i="29"/>
  <c r="M36" i="29"/>
  <c r="G36" i="29"/>
  <c r="AA35" i="29"/>
  <c r="T35" i="29"/>
  <c r="M35" i="29"/>
  <c r="G35" i="29"/>
  <c r="AA34" i="29"/>
  <c r="T34" i="29"/>
  <c r="M34" i="29"/>
  <c r="G34" i="29"/>
  <c r="AA33" i="29"/>
  <c r="T33" i="29"/>
  <c r="M33" i="29"/>
  <c r="G33" i="29"/>
  <c r="AA32" i="29"/>
  <c r="T32" i="29"/>
  <c r="M32" i="29"/>
  <c r="G32" i="29"/>
  <c r="AA31" i="29"/>
  <c r="T31" i="29"/>
  <c r="M31" i="29"/>
  <c r="G31" i="29"/>
  <c r="AA30" i="29"/>
  <c r="T30" i="29"/>
  <c r="M30" i="29"/>
  <c r="G30" i="29"/>
  <c r="AA29" i="29"/>
  <c r="T29" i="29"/>
  <c r="M29" i="29"/>
  <c r="G29" i="29"/>
  <c r="AA28" i="29"/>
  <c r="T28" i="29"/>
  <c r="M28" i="29"/>
  <c r="G28" i="29"/>
  <c r="AE25" i="29"/>
  <c r="R25" i="29"/>
  <c r="Q25" i="29"/>
  <c r="O25" i="29"/>
  <c r="H25" i="29"/>
  <c r="F25" i="29"/>
  <c r="E25" i="29"/>
  <c r="D25" i="29"/>
  <c r="C25" i="29"/>
  <c r="B25" i="29"/>
  <c r="Z24" i="29"/>
  <c r="T24" i="29"/>
  <c r="M24" i="29"/>
  <c r="G24" i="29"/>
  <c r="Z23" i="29"/>
  <c r="Y23" i="29"/>
  <c r="W23" i="29"/>
  <c r="V23" i="29"/>
  <c r="S23" i="29"/>
  <c r="P23" i="29"/>
  <c r="T23" i="29" s="1"/>
  <c r="L23" i="29"/>
  <c r="K23" i="29"/>
  <c r="J23" i="29"/>
  <c r="I23" i="29"/>
  <c r="G23" i="29"/>
  <c r="AA22" i="29"/>
  <c r="T22" i="29"/>
  <c r="M22" i="29"/>
  <c r="G22" i="29"/>
  <c r="W21" i="29"/>
  <c r="V21" i="29"/>
  <c r="S21" i="29"/>
  <c r="T21" i="29" s="1"/>
  <c r="I21" i="29"/>
  <c r="M21" i="29" s="1"/>
  <c r="G21" i="29"/>
  <c r="AD20" i="29"/>
  <c r="AC20" i="29"/>
  <c r="Z20" i="29"/>
  <c r="Y20" i="29"/>
  <c r="X20" i="29"/>
  <c r="W20" i="29"/>
  <c r="V20" i="29"/>
  <c r="P20" i="29"/>
  <c r="T20" i="29" s="1"/>
  <c r="L20" i="29"/>
  <c r="J20" i="29"/>
  <c r="I20" i="29"/>
  <c r="G20" i="29"/>
  <c r="AD19" i="29"/>
  <c r="AC19" i="29"/>
  <c r="Z19" i="29"/>
  <c r="Y19" i="29"/>
  <c r="X19" i="29"/>
  <c r="W19" i="29"/>
  <c r="V19" i="29"/>
  <c r="S19" i="29"/>
  <c r="P19" i="29"/>
  <c r="T19" i="29" s="1"/>
  <c r="L19" i="29"/>
  <c r="I19" i="29"/>
  <c r="M19" i="29" s="1"/>
  <c r="G19" i="29"/>
  <c r="AD18" i="29"/>
  <c r="AC18" i="29"/>
  <c r="Z18" i="29"/>
  <c r="Y18" i="29"/>
  <c r="X18" i="29"/>
  <c r="W18" i="29"/>
  <c r="S18" i="29"/>
  <c r="P18" i="29"/>
  <c r="T18" i="29" s="1"/>
  <c r="L18" i="29"/>
  <c r="K18" i="29"/>
  <c r="J18" i="29"/>
  <c r="I18" i="29"/>
  <c r="G18" i="29"/>
  <c r="AD17" i="29"/>
  <c r="AC17" i="29"/>
  <c r="Z17" i="29"/>
  <c r="Y17" i="29"/>
  <c r="X17" i="29"/>
  <c r="W17" i="29"/>
  <c r="V17" i="29"/>
  <c r="S17" i="29"/>
  <c r="P17" i="29"/>
  <c r="L17" i="29"/>
  <c r="I17" i="29"/>
  <c r="M17" i="29" s="1"/>
  <c r="G17" i="29"/>
  <c r="AC16" i="29"/>
  <c r="Z16" i="29"/>
  <c r="V16" i="29"/>
  <c r="S16" i="29"/>
  <c r="P16" i="29"/>
  <c r="L16" i="29"/>
  <c r="K16" i="29"/>
  <c r="J16" i="29"/>
  <c r="I16" i="29"/>
  <c r="G16" i="29"/>
  <c r="AA15" i="29"/>
  <c r="T15" i="29"/>
  <c r="I15" i="29"/>
  <c r="M15" i="29" s="1"/>
  <c r="G15" i="29"/>
  <c r="AD14" i="29"/>
  <c r="AC14" i="29"/>
  <c r="Y14" i="29"/>
  <c r="X14" i="29"/>
  <c r="W14" i="29"/>
  <c r="V14" i="29"/>
  <c r="P14" i="29"/>
  <c r="T14" i="29" s="1"/>
  <c r="L14" i="29"/>
  <c r="K14" i="29"/>
  <c r="J14" i="29"/>
  <c r="I14" i="29"/>
  <c r="G14" i="29"/>
  <c r="AE11" i="29"/>
  <c r="AD11" i="29"/>
  <c r="Z11" i="29"/>
  <c r="Y11" i="29"/>
  <c r="X11" i="29"/>
  <c r="V11" i="29"/>
  <c r="S11" i="29"/>
  <c r="R11" i="29"/>
  <c r="R43" i="29" s="1"/>
  <c r="Q11" i="29"/>
  <c r="P11" i="29"/>
  <c r="O11" i="29"/>
  <c r="I11" i="29"/>
  <c r="H11" i="29"/>
  <c r="F11" i="29"/>
  <c r="E11" i="29"/>
  <c r="D11" i="29"/>
  <c r="C11" i="29"/>
  <c r="B11" i="29"/>
  <c r="W10" i="29"/>
  <c r="AA10" i="29" s="1"/>
  <c r="T10" i="29"/>
  <c r="M10" i="29"/>
  <c r="G10" i="29"/>
  <c r="AC9" i="29"/>
  <c r="AC11" i="29" s="1"/>
  <c r="W9" i="29"/>
  <c r="AA9" i="29" s="1"/>
  <c r="T9" i="29"/>
  <c r="L9" i="29"/>
  <c r="M9" i="29"/>
  <c r="G9" i="29"/>
  <c r="W8" i="29"/>
  <c r="AA8" i="29" s="1"/>
  <c r="T8" i="29"/>
  <c r="L8" i="29"/>
  <c r="L11" i="29" s="1"/>
  <c r="G8" i="29"/>
  <c r="W7" i="29"/>
  <c r="AA7" i="29" s="1"/>
  <c r="T7" i="29"/>
  <c r="M7" i="29"/>
  <c r="G7" i="29"/>
  <c r="W6" i="29"/>
  <c r="AA6" i="29" s="1"/>
  <c r="T6" i="29"/>
  <c r="K6" i="29"/>
  <c r="J6" i="29"/>
  <c r="J11" i="29" s="1"/>
  <c r="G6" i="29"/>
  <c r="M25" i="30" l="1"/>
  <c r="W43" i="30"/>
  <c r="T16" i="29"/>
  <c r="M23" i="29"/>
  <c r="U19" i="29"/>
  <c r="M11" i="30"/>
  <c r="N11" i="30" s="1"/>
  <c r="AB31" i="29"/>
  <c r="AA21" i="29"/>
  <c r="AB21" i="29" s="1"/>
  <c r="AA25" i="30"/>
  <c r="AB25" i="30" s="1"/>
  <c r="T25" i="30"/>
  <c r="N6" i="30"/>
  <c r="E43" i="30"/>
  <c r="AB37" i="30"/>
  <c r="N37" i="30"/>
  <c r="Q3" i="23"/>
  <c r="U37" i="30"/>
  <c r="AB29" i="29"/>
  <c r="Q43" i="29"/>
  <c r="U31" i="29"/>
  <c r="M37" i="29"/>
  <c r="F43" i="29"/>
  <c r="U21" i="29"/>
  <c r="AB15" i="29"/>
  <c r="U10" i="29"/>
  <c r="G42" i="29"/>
  <c r="N42" i="29" s="1"/>
  <c r="AB41" i="29"/>
  <c r="N36" i="29"/>
  <c r="U36" i="29"/>
  <c r="AB36" i="29"/>
  <c r="AB34" i="29"/>
  <c r="U33" i="29"/>
  <c r="N35" i="29"/>
  <c r="AB35" i="29"/>
  <c r="N34" i="29"/>
  <c r="U34" i="29"/>
  <c r="AB33" i="29"/>
  <c r="N33" i="29"/>
  <c r="AB32" i="29"/>
  <c r="AB30" i="29"/>
  <c r="U29" i="29"/>
  <c r="N29" i="29"/>
  <c r="U28" i="29"/>
  <c r="AB28" i="29"/>
  <c r="N24" i="29"/>
  <c r="U24" i="29"/>
  <c r="N23" i="29"/>
  <c r="U23" i="29"/>
  <c r="N22" i="29"/>
  <c r="U22" i="29"/>
  <c r="AB22" i="29"/>
  <c r="U20" i="29"/>
  <c r="N15" i="29"/>
  <c r="U15" i="29"/>
  <c r="N10" i="29"/>
  <c r="U7" i="29"/>
  <c r="AB7" i="29"/>
  <c r="W25" i="29"/>
  <c r="G25" i="29"/>
  <c r="R3" i="20" s="1"/>
  <c r="AD25" i="29"/>
  <c r="AD43" i="29" s="1"/>
  <c r="L25" i="29"/>
  <c r="L43" i="29" s="1"/>
  <c r="AB42" i="30"/>
  <c r="G43" i="30"/>
  <c r="N42" i="30"/>
  <c r="M8" i="29"/>
  <c r="N8" i="29" s="1"/>
  <c r="B43" i="29"/>
  <c r="U14" i="29"/>
  <c r="M14" i="29"/>
  <c r="N14" i="29" s="1"/>
  <c r="X25" i="29"/>
  <c r="X43" i="29" s="1"/>
  <c r="M16" i="29"/>
  <c r="N16" i="29" s="1"/>
  <c r="N17" i="29"/>
  <c r="M18" i="29"/>
  <c r="N18" i="29" s="1"/>
  <c r="Y25" i="29"/>
  <c r="Y43" i="29" s="1"/>
  <c r="U25" i="30"/>
  <c r="H43" i="29"/>
  <c r="S25" i="29"/>
  <c r="S43" i="29" s="1"/>
  <c r="AA19" i="29"/>
  <c r="AB19" i="29" s="1"/>
  <c r="AA23" i="29"/>
  <c r="AB23" i="29" s="1"/>
  <c r="N30" i="29"/>
  <c r="N32" i="29"/>
  <c r="U41" i="29"/>
  <c r="S3" i="17"/>
  <c r="O43" i="29"/>
  <c r="P25" i="29"/>
  <c r="P43" i="29" s="1"/>
  <c r="U16" i="29"/>
  <c r="AA17" i="29"/>
  <c r="AB17" i="29" s="1"/>
  <c r="U18" i="29"/>
  <c r="N25" i="30"/>
  <c r="C43" i="29"/>
  <c r="J25" i="29"/>
  <c r="J43" i="29" s="1"/>
  <c r="N19" i="29"/>
  <c r="N31" i="29"/>
  <c r="M6" i="29"/>
  <c r="N6" i="29" s="1"/>
  <c r="D43" i="29"/>
  <c r="AE43" i="29"/>
  <c r="K25" i="29"/>
  <c r="AA14" i="29"/>
  <c r="AC25" i="29"/>
  <c r="AC43" i="29" s="1"/>
  <c r="Z25" i="29"/>
  <c r="Z43" i="29" s="1"/>
  <c r="AA16" i="29"/>
  <c r="AB16" i="29" s="1"/>
  <c r="T17" i="29"/>
  <c r="U17" i="29" s="1"/>
  <c r="AA18" i="29"/>
  <c r="AB18" i="29" s="1"/>
  <c r="M20" i="29"/>
  <c r="N20" i="29" s="1"/>
  <c r="AA20" i="29"/>
  <c r="AB20" i="29" s="1"/>
  <c r="N21" i="29"/>
  <c r="AA24" i="29"/>
  <c r="AB24" i="29" s="1"/>
  <c r="G37" i="29"/>
  <c r="P3" i="23" s="1"/>
  <c r="U30" i="29"/>
  <c r="U32" i="29"/>
  <c r="U35" i="29"/>
  <c r="N41" i="29"/>
  <c r="U11" i="30"/>
  <c r="U42" i="30"/>
  <c r="AB11" i="30"/>
  <c r="N9" i="29"/>
  <c r="AB9" i="29"/>
  <c r="U8" i="29"/>
  <c r="G11" i="29"/>
  <c r="R3" i="17" s="1"/>
  <c r="U6" i="29"/>
  <c r="N7" i="29"/>
  <c r="AB8" i="29"/>
  <c r="U9" i="29"/>
  <c r="AB10" i="29"/>
  <c r="AA11" i="29"/>
  <c r="AB6" i="29"/>
  <c r="T11" i="29"/>
  <c r="U40" i="29"/>
  <c r="K11" i="29"/>
  <c r="W11" i="29"/>
  <c r="T25" i="29"/>
  <c r="AA37" i="29"/>
  <c r="T37" i="29"/>
  <c r="V25" i="29"/>
  <c r="V43" i="29" s="1"/>
  <c r="N28" i="29"/>
  <c r="I25" i="29"/>
  <c r="I43" i="29" s="1"/>
  <c r="N40" i="29"/>
  <c r="AA40" i="29"/>
  <c r="AA43" i="30" l="1"/>
  <c r="U42" i="29"/>
  <c r="M43" i="30"/>
  <c r="T43" i="30"/>
  <c r="U43" i="30" s="1"/>
  <c r="N43" i="30"/>
  <c r="AB43" i="30"/>
  <c r="AA25" i="29"/>
  <c r="W43" i="29"/>
  <c r="M11" i="29"/>
  <c r="E43" i="29"/>
  <c r="U37" i="29"/>
  <c r="U25" i="29"/>
  <c r="K43" i="29"/>
  <c r="AB14" i="29"/>
  <c r="M25" i="29"/>
  <c r="N37" i="29"/>
  <c r="AB37" i="29"/>
  <c r="G43" i="29"/>
  <c r="AB11" i="29"/>
  <c r="U11" i="29"/>
  <c r="T43" i="29"/>
  <c r="AA42" i="29"/>
  <c r="AB42" i="29" s="1"/>
  <c r="AB40" i="29"/>
  <c r="AB25" i="29" l="1"/>
  <c r="M43" i="29"/>
  <c r="N43" i="29" s="1"/>
  <c r="N11" i="29"/>
  <c r="N25" i="29"/>
  <c r="U43" i="29"/>
  <c r="AA43" i="29"/>
  <c r="AB43" i="29" s="1"/>
  <c r="S42" i="28" l="1"/>
  <c r="I11" i="28"/>
  <c r="K42" i="28"/>
  <c r="J42" i="28"/>
  <c r="H42" i="28"/>
  <c r="T28" i="28"/>
  <c r="AA41" i="28"/>
  <c r="AA36" i="28"/>
  <c r="AA35" i="28"/>
  <c r="AA34" i="28"/>
  <c r="AA33" i="28"/>
  <c r="AA32" i="28"/>
  <c r="AA31" i="28"/>
  <c r="AA30" i="28"/>
  <c r="AA29" i="28"/>
  <c r="AA28" i="28"/>
  <c r="AA22" i="28"/>
  <c r="V42" i="28"/>
  <c r="T41" i="28" l="1"/>
  <c r="T40" i="28"/>
  <c r="T36" i="28"/>
  <c r="T35" i="28"/>
  <c r="T34" i="28"/>
  <c r="T33" i="28"/>
  <c r="T32" i="28"/>
  <c r="T31" i="28"/>
  <c r="T30" i="28"/>
  <c r="T29" i="28"/>
  <c r="T24" i="28"/>
  <c r="T22" i="28"/>
  <c r="T15" i="28"/>
  <c r="T10" i="28"/>
  <c r="T9" i="28"/>
  <c r="T7" i="28"/>
  <c r="M41" i="28"/>
  <c r="M40" i="28"/>
  <c r="M36" i="28"/>
  <c r="M35" i="28"/>
  <c r="M34" i="28"/>
  <c r="M33" i="28"/>
  <c r="M32" i="28"/>
  <c r="M31" i="28"/>
  <c r="M30" i="28"/>
  <c r="M29" i="28"/>
  <c r="M28" i="28"/>
  <c r="M22" i="28"/>
  <c r="M10" i="28"/>
  <c r="M7" i="28"/>
  <c r="G6" i="28" l="1"/>
  <c r="G7" i="28"/>
  <c r="G8" i="28"/>
  <c r="G9" i="28"/>
  <c r="G10" i="28"/>
  <c r="G11" i="28" l="1"/>
  <c r="Q3" i="17" s="1"/>
  <c r="AE42" i="28"/>
  <c r="AD42" i="28"/>
  <c r="AC42" i="28"/>
  <c r="X42" i="28"/>
  <c r="W42" i="28"/>
  <c r="R42" i="28"/>
  <c r="Q42" i="28"/>
  <c r="P42" i="28"/>
  <c r="O42" i="28"/>
  <c r="M42" i="28"/>
  <c r="L42" i="28"/>
  <c r="I42" i="28"/>
  <c r="F42" i="28"/>
  <c r="E42" i="28"/>
  <c r="D42" i="28"/>
  <c r="C42" i="28"/>
  <c r="B42" i="28"/>
  <c r="G41" i="28"/>
  <c r="Z42" i="28"/>
  <c r="Y40" i="28"/>
  <c r="G40" i="28"/>
  <c r="N40" i="28" s="1"/>
  <c r="AE37" i="28"/>
  <c r="AD37" i="28"/>
  <c r="AC37" i="28"/>
  <c r="Z37" i="28"/>
  <c r="Y37" i="28"/>
  <c r="X37" i="28"/>
  <c r="W37" i="28"/>
  <c r="V37" i="28"/>
  <c r="S37" i="28"/>
  <c r="R37" i="28"/>
  <c r="Q37" i="28"/>
  <c r="P37" i="28"/>
  <c r="O37" i="28"/>
  <c r="L37" i="28"/>
  <c r="K37" i="28"/>
  <c r="J37" i="28"/>
  <c r="I37" i="28"/>
  <c r="H37" i="28"/>
  <c r="F37" i="28"/>
  <c r="E37" i="28"/>
  <c r="D37" i="28"/>
  <c r="C37" i="28"/>
  <c r="B37" i="28"/>
  <c r="G36" i="28"/>
  <c r="U36" i="28" s="1"/>
  <c r="G35" i="28"/>
  <c r="G34" i="28"/>
  <c r="N34" i="28" s="1"/>
  <c r="G33" i="28"/>
  <c r="G32" i="28"/>
  <c r="U32" i="28" s="1"/>
  <c r="G31" i="28"/>
  <c r="G30" i="28"/>
  <c r="N30" i="28" s="1"/>
  <c r="G29" i="28"/>
  <c r="G28" i="28"/>
  <c r="U28" i="28" s="1"/>
  <c r="AE25" i="28"/>
  <c r="R25" i="28"/>
  <c r="Q25" i="28"/>
  <c r="O25" i="28"/>
  <c r="H25" i="28"/>
  <c r="F25" i="28"/>
  <c r="E25" i="28"/>
  <c r="D25" i="28"/>
  <c r="C25" i="28"/>
  <c r="B25" i="28"/>
  <c r="Z24" i="28"/>
  <c r="V24" i="28"/>
  <c r="AA24" i="28" s="1"/>
  <c r="I24" i="28"/>
  <c r="M24" i="28" s="1"/>
  <c r="G24" i="28"/>
  <c r="AD23" i="28"/>
  <c r="Z23" i="28"/>
  <c r="Y23" i="28"/>
  <c r="W23" i="28"/>
  <c r="V23" i="28"/>
  <c r="S23" i="28"/>
  <c r="P23" i="28"/>
  <c r="L23" i="28"/>
  <c r="K23" i="28"/>
  <c r="J23" i="28"/>
  <c r="I23" i="28"/>
  <c r="G23" i="28"/>
  <c r="G22" i="28"/>
  <c r="AC21" i="28"/>
  <c r="Y21" i="28"/>
  <c r="W21" i="28"/>
  <c r="V21" i="28"/>
  <c r="AA21" i="28" s="1"/>
  <c r="S21" i="28"/>
  <c r="T21" i="28" s="1"/>
  <c r="I21" i="28"/>
  <c r="M21" i="28" s="1"/>
  <c r="G21" i="28"/>
  <c r="AD20" i="28"/>
  <c r="AC20" i="28"/>
  <c r="Z20" i="28"/>
  <c r="Y20" i="28"/>
  <c r="X20" i="28"/>
  <c r="W20" i="28"/>
  <c r="V20" i="28"/>
  <c r="S20" i="28"/>
  <c r="P20" i="28"/>
  <c r="L20" i="28"/>
  <c r="J20" i="28"/>
  <c r="I20" i="28"/>
  <c r="G20" i="28"/>
  <c r="AD19" i="28"/>
  <c r="AC19" i="28"/>
  <c r="Z19" i="28"/>
  <c r="Y19" i="28"/>
  <c r="X19" i="28"/>
  <c r="W19" i="28"/>
  <c r="V19" i="28"/>
  <c r="S19" i="28"/>
  <c r="P19" i="28"/>
  <c r="T19" i="28" s="1"/>
  <c r="L19" i="28"/>
  <c r="I19" i="28"/>
  <c r="M19" i="28" s="1"/>
  <c r="G19" i="28"/>
  <c r="AD18" i="28"/>
  <c r="AC18" i="28"/>
  <c r="Z18" i="28"/>
  <c r="Y18" i="28"/>
  <c r="X18" i="28"/>
  <c r="W18" i="28"/>
  <c r="S18" i="28"/>
  <c r="P18" i="28"/>
  <c r="T18" i="28" s="1"/>
  <c r="L18" i="28"/>
  <c r="K18" i="28"/>
  <c r="J18" i="28"/>
  <c r="I18" i="28"/>
  <c r="G18" i="28"/>
  <c r="AD17" i="28"/>
  <c r="AC17" i="28"/>
  <c r="Z17" i="28"/>
  <c r="Y17" i="28"/>
  <c r="X17" i="28"/>
  <c r="W17" i="28"/>
  <c r="V17" i="28"/>
  <c r="S17" i="28"/>
  <c r="P17" i="28"/>
  <c r="L17" i="28"/>
  <c r="I17" i="28"/>
  <c r="M17" i="28" s="1"/>
  <c r="G17" i="28"/>
  <c r="AD16" i="28"/>
  <c r="AC16" i="28"/>
  <c r="Z16" i="28"/>
  <c r="W16" i="28"/>
  <c r="V16" i="28"/>
  <c r="S16" i="28"/>
  <c r="P16" i="28"/>
  <c r="L16" i="28"/>
  <c r="K16" i="28"/>
  <c r="J16" i="28"/>
  <c r="I16" i="28"/>
  <c r="G16" i="28"/>
  <c r="Z15" i="28"/>
  <c r="W15" i="28"/>
  <c r="V15" i="28"/>
  <c r="AA15" i="28" s="1"/>
  <c r="I15" i="28"/>
  <c r="M15" i="28" s="1"/>
  <c r="G15" i="28"/>
  <c r="AD14" i="28"/>
  <c r="AC14" i="28"/>
  <c r="Y14" i="28"/>
  <c r="Y25" i="28" s="1"/>
  <c r="X14" i="28"/>
  <c r="W14" i="28"/>
  <c r="V14" i="28"/>
  <c r="P14" i="28"/>
  <c r="T14" i="28" s="1"/>
  <c r="L14" i="28"/>
  <c r="K14" i="28"/>
  <c r="J14" i="28"/>
  <c r="I14" i="28"/>
  <c r="M14" i="28" s="1"/>
  <c r="G14" i="28"/>
  <c r="AE11" i="28"/>
  <c r="AD11" i="28"/>
  <c r="Z11" i="28"/>
  <c r="Y11" i="28"/>
  <c r="X11" i="28"/>
  <c r="V11" i="28"/>
  <c r="S11" i="28"/>
  <c r="R11" i="28"/>
  <c r="Q11" i="28"/>
  <c r="P11" i="28"/>
  <c r="O11" i="28"/>
  <c r="H11" i="28"/>
  <c r="F11" i="28"/>
  <c r="E11" i="28"/>
  <c r="D11" i="28"/>
  <c r="C11" i="28"/>
  <c r="B11" i="28"/>
  <c r="W10" i="28"/>
  <c r="AA10" i="28" s="1"/>
  <c r="AB10" i="28" s="1"/>
  <c r="U10" i="28"/>
  <c r="N10" i="28"/>
  <c r="AC9" i="28"/>
  <c r="AC11" i="28" s="1"/>
  <c r="W9" i="28"/>
  <c r="U9" i="28"/>
  <c r="L9" i="28"/>
  <c r="K9" i="28"/>
  <c r="W8" i="28"/>
  <c r="AA8" i="28" s="1"/>
  <c r="T8" i="28"/>
  <c r="L8" i="28"/>
  <c r="K8" i="28"/>
  <c r="W7" i="28"/>
  <c r="AA7" i="28" s="1"/>
  <c r="N7" i="28"/>
  <c r="U7" i="28"/>
  <c r="AC6" i="28"/>
  <c r="W6" i="28"/>
  <c r="AA6" i="28" s="1"/>
  <c r="T6" i="28"/>
  <c r="U6" i="28" s="1"/>
  <c r="K6" i="28"/>
  <c r="J6" i="28"/>
  <c r="J11" i="28" s="1"/>
  <c r="L25" i="28" l="1"/>
  <c r="L11" i="28"/>
  <c r="L43" i="28" s="1"/>
  <c r="O43" i="28"/>
  <c r="T16" i="28"/>
  <c r="T20" i="28"/>
  <c r="M9" i="28"/>
  <c r="N9" i="28" s="1"/>
  <c r="AA17" i="28"/>
  <c r="M18" i="28"/>
  <c r="AA23" i="28"/>
  <c r="K11" i="28"/>
  <c r="AD25" i="28"/>
  <c r="AD43" i="28" s="1"/>
  <c r="J25" i="28"/>
  <c r="J43" i="28" s="1"/>
  <c r="S25" i="28"/>
  <c r="AA19" i="28"/>
  <c r="AB19" i="28" s="1"/>
  <c r="U21" i="28"/>
  <c r="M6" i="28"/>
  <c r="M11" i="28" s="1"/>
  <c r="M8" i="28"/>
  <c r="N8" i="28" s="1"/>
  <c r="AA9" i="28"/>
  <c r="AB9" i="28" s="1"/>
  <c r="X25" i="28"/>
  <c r="AB15" i="28"/>
  <c r="AA16" i="28"/>
  <c r="T17" i="28"/>
  <c r="U17" i="28" s="1"/>
  <c r="AA18" i="28"/>
  <c r="M20" i="28"/>
  <c r="N20" i="28" s="1"/>
  <c r="AA20" i="28"/>
  <c r="AB20" i="28" s="1"/>
  <c r="M23" i="28"/>
  <c r="N23" i="28" s="1"/>
  <c r="T23" i="28"/>
  <c r="U23" i="28" s="1"/>
  <c r="Y42" i="28"/>
  <c r="Y43" i="28" s="1"/>
  <c r="AA40" i="28"/>
  <c r="AA42" i="28" s="1"/>
  <c r="S43" i="28"/>
  <c r="R43" i="28"/>
  <c r="Q43" i="28"/>
  <c r="U35" i="28"/>
  <c r="AB35" i="28"/>
  <c r="U29" i="28"/>
  <c r="AB29" i="28"/>
  <c r="F43" i="28"/>
  <c r="N35" i="28"/>
  <c r="U40" i="28"/>
  <c r="U30" i="28"/>
  <c r="N36" i="28"/>
  <c r="AB30" i="28"/>
  <c r="N29" i="28"/>
  <c r="AB23" i="28"/>
  <c r="AB22" i="28"/>
  <c r="AB21" i="28"/>
  <c r="N21" i="28"/>
  <c r="U19" i="28"/>
  <c r="N15" i="28"/>
  <c r="U15" i="28"/>
  <c r="U41" i="28"/>
  <c r="AB41" i="28"/>
  <c r="N41" i="28"/>
  <c r="AB34" i="28"/>
  <c r="U34" i="28"/>
  <c r="N33" i="28"/>
  <c r="U33" i="28"/>
  <c r="AB33" i="28"/>
  <c r="G37" i="28"/>
  <c r="O3" i="23" s="1"/>
  <c r="N31" i="28"/>
  <c r="U31" i="28"/>
  <c r="AB31" i="28"/>
  <c r="N24" i="28"/>
  <c r="N22" i="28"/>
  <c r="U22" i="28"/>
  <c r="U20" i="28"/>
  <c r="N19" i="28"/>
  <c r="U18" i="28"/>
  <c r="AB18" i="28"/>
  <c r="N17" i="28"/>
  <c r="AB17" i="28"/>
  <c r="U16" i="28"/>
  <c r="AB16" i="28"/>
  <c r="U14" i="28"/>
  <c r="B43" i="28"/>
  <c r="X43" i="28"/>
  <c r="AB32" i="28"/>
  <c r="W11" i="28"/>
  <c r="AE43" i="28"/>
  <c r="K25" i="28"/>
  <c r="V25" i="28"/>
  <c r="V43" i="28" s="1"/>
  <c r="Z25" i="28"/>
  <c r="Z43" i="28" s="1"/>
  <c r="AB28" i="28"/>
  <c r="N32" i="28"/>
  <c r="AA37" i="28"/>
  <c r="AB8" i="28"/>
  <c r="C43" i="28"/>
  <c r="H43" i="28"/>
  <c r="P43" i="28"/>
  <c r="T11" i="28"/>
  <c r="G25" i="28"/>
  <c r="Q3" i="20" s="1"/>
  <c r="W25" i="28"/>
  <c r="M16" i="28"/>
  <c r="N16" i="28" s="1"/>
  <c r="AB24" i="28"/>
  <c r="P25" i="28"/>
  <c r="M37" i="28"/>
  <c r="T42" i="28"/>
  <c r="U8" i="28"/>
  <c r="U24" i="28"/>
  <c r="AB7" i="28"/>
  <c r="D43" i="28"/>
  <c r="N14" i="28"/>
  <c r="AC25" i="28"/>
  <c r="AC43" i="28" s="1"/>
  <c r="N18" i="28"/>
  <c r="AB36" i="28"/>
  <c r="I25" i="28"/>
  <c r="I43" i="28" s="1"/>
  <c r="AA14" i="28"/>
  <c r="T37" i="28"/>
  <c r="G42" i="28"/>
  <c r="N42" i="28" s="1"/>
  <c r="N28" i="28"/>
  <c r="N6" i="28" l="1"/>
  <c r="K43" i="28"/>
  <c r="T25" i="28"/>
  <c r="U37" i="28"/>
  <c r="E43" i="28"/>
  <c r="N37" i="28"/>
  <c r="AB37" i="28"/>
  <c r="U25" i="28"/>
  <c r="G43" i="28"/>
  <c r="AA25" i="28"/>
  <c r="AB14" i="28"/>
  <c r="M25" i="28"/>
  <c r="W43" i="28"/>
  <c r="N11" i="28"/>
  <c r="U11" i="28"/>
  <c r="T43" i="28"/>
  <c r="U42" i="28"/>
  <c r="AB42" i="28"/>
  <c r="AB40" i="28"/>
  <c r="AA11" i="28"/>
  <c r="AB6" i="28"/>
  <c r="AE42" i="27"/>
  <c r="AD42" i="27"/>
  <c r="AC42" i="27"/>
  <c r="X42" i="27"/>
  <c r="W42" i="27"/>
  <c r="V42" i="27"/>
  <c r="R42" i="27"/>
  <c r="Q42" i="27"/>
  <c r="P42" i="27"/>
  <c r="O42" i="27"/>
  <c r="L42" i="27"/>
  <c r="K42" i="27"/>
  <c r="I42" i="27"/>
  <c r="F42" i="27"/>
  <c r="E42" i="27"/>
  <c r="D42" i="27"/>
  <c r="C42" i="27"/>
  <c r="B42" i="27"/>
  <c r="AA41" i="27"/>
  <c r="T41" i="27"/>
  <c r="M41" i="27"/>
  <c r="G41" i="27"/>
  <c r="Z42" i="27"/>
  <c r="T40" i="27"/>
  <c r="T42" i="27" s="1"/>
  <c r="G40" i="27"/>
  <c r="AE37" i="27"/>
  <c r="AD37" i="27"/>
  <c r="AC37" i="27"/>
  <c r="Z37" i="27"/>
  <c r="Y37" i="27"/>
  <c r="X37" i="27"/>
  <c r="W37" i="27"/>
  <c r="V37" i="27"/>
  <c r="S37" i="27"/>
  <c r="R37" i="27"/>
  <c r="Q37" i="27"/>
  <c r="P37" i="27"/>
  <c r="O37" i="27"/>
  <c r="L37" i="27"/>
  <c r="K37" i="27"/>
  <c r="J37" i="27"/>
  <c r="I37" i="27"/>
  <c r="H37" i="27"/>
  <c r="F37" i="27"/>
  <c r="E37" i="27"/>
  <c r="D37" i="27"/>
  <c r="C37" i="27"/>
  <c r="B37" i="27"/>
  <c r="AA36" i="27"/>
  <c r="T36" i="27"/>
  <c r="M36" i="27"/>
  <c r="G36" i="27"/>
  <c r="U36" i="27" s="1"/>
  <c r="AA35" i="27"/>
  <c r="T35" i="27"/>
  <c r="M35" i="27"/>
  <c r="G35" i="27"/>
  <c r="AA34" i="27"/>
  <c r="T34" i="27"/>
  <c r="U34" i="27" s="1"/>
  <c r="M34" i="27"/>
  <c r="G34" i="27"/>
  <c r="AA33" i="27"/>
  <c r="T33" i="27"/>
  <c r="M33" i="27"/>
  <c r="G33" i="27"/>
  <c r="AA32" i="27"/>
  <c r="T32" i="27"/>
  <c r="M32" i="27"/>
  <c r="G32" i="27"/>
  <c r="U32" i="27" s="1"/>
  <c r="AA31" i="27"/>
  <c r="T31" i="27"/>
  <c r="M31" i="27"/>
  <c r="G31" i="27"/>
  <c r="U31" i="27" s="1"/>
  <c r="AA30" i="27"/>
  <c r="T30" i="27"/>
  <c r="M30" i="27"/>
  <c r="G30" i="27"/>
  <c r="AA29" i="27"/>
  <c r="AB29" i="27" s="1"/>
  <c r="T29" i="27"/>
  <c r="M29" i="27"/>
  <c r="G29" i="27"/>
  <c r="AA28" i="27"/>
  <c r="T28" i="27"/>
  <c r="M28" i="27"/>
  <c r="G28" i="27"/>
  <c r="AE25" i="27"/>
  <c r="R25" i="27"/>
  <c r="Q25" i="27"/>
  <c r="O25" i="27"/>
  <c r="H25" i="27"/>
  <c r="F25" i="27"/>
  <c r="E25" i="27"/>
  <c r="D25" i="27"/>
  <c r="C25" i="27"/>
  <c r="B25" i="27"/>
  <c r="T24" i="27"/>
  <c r="G24" i="27"/>
  <c r="G23" i="27"/>
  <c r="AA22" i="27"/>
  <c r="T22" i="27"/>
  <c r="M22" i="27"/>
  <c r="G22" i="27"/>
  <c r="N22" i="27" s="1"/>
  <c r="G21" i="27"/>
  <c r="G20" i="27"/>
  <c r="G19" i="27"/>
  <c r="G18" i="27"/>
  <c r="G17" i="27"/>
  <c r="G16" i="27"/>
  <c r="T15" i="27"/>
  <c r="G15" i="27"/>
  <c r="N15" i="27" s="1"/>
  <c r="G14" i="27"/>
  <c r="AE11" i="27"/>
  <c r="AD11" i="27"/>
  <c r="Z11" i="27"/>
  <c r="Y11" i="27"/>
  <c r="X11" i="27"/>
  <c r="V11" i="27"/>
  <c r="S11" i="27"/>
  <c r="R11" i="27"/>
  <c r="R43" i="27" s="1"/>
  <c r="Q11" i="27"/>
  <c r="P11" i="27"/>
  <c r="O11" i="27"/>
  <c r="I11" i="27"/>
  <c r="H11" i="27"/>
  <c r="F11" i="27"/>
  <c r="E11" i="27"/>
  <c r="D11" i="27"/>
  <c r="C11" i="27"/>
  <c r="B11" i="27"/>
  <c r="AA10" i="27"/>
  <c r="T10" i="27"/>
  <c r="M10" i="27"/>
  <c r="G10" i="27"/>
  <c r="AA9" i="27"/>
  <c r="T9" i="27"/>
  <c r="G9" i="27"/>
  <c r="AA8" i="27"/>
  <c r="T8" i="27"/>
  <c r="G8" i="27"/>
  <c r="AA7" i="27"/>
  <c r="T7" i="27"/>
  <c r="M7" i="27"/>
  <c r="G7" i="27"/>
  <c r="AA6" i="27"/>
  <c r="T6" i="27"/>
  <c r="G6" i="27"/>
  <c r="N35" i="27" l="1"/>
  <c r="U41" i="27"/>
  <c r="U10" i="27"/>
  <c r="AB8" i="27"/>
  <c r="G11" i="27"/>
  <c r="O3" i="17" s="1"/>
  <c r="AB32" i="27"/>
  <c r="U8" i="27"/>
  <c r="U29" i="27"/>
  <c r="N33" i="27"/>
  <c r="H43" i="27"/>
  <c r="N10" i="27"/>
  <c r="AB22" i="27"/>
  <c r="U24" i="27"/>
  <c r="U33" i="27"/>
  <c r="U35" i="27"/>
  <c r="U22" i="27"/>
  <c r="N29" i="27"/>
  <c r="N7" i="27"/>
  <c r="AB33" i="27"/>
  <c r="AB9" i="27"/>
  <c r="G25" i="27"/>
  <c r="O3" i="20" s="1"/>
  <c r="U15" i="27"/>
  <c r="AB7" i="27"/>
  <c r="D43" i="27"/>
  <c r="U6" i="27"/>
  <c r="AB10" i="27"/>
  <c r="N25" i="28"/>
  <c r="O43" i="27"/>
  <c r="AB30" i="27"/>
  <c r="N36" i="27"/>
  <c r="B43" i="27"/>
  <c r="E43" i="27" s="1"/>
  <c r="F43" i="27"/>
  <c r="N32" i="27"/>
  <c r="AB25" i="28"/>
  <c r="U7" i="27"/>
  <c r="U9" i="27"/>
  <c r="C43" i="27"/>
  <c r="Q43" i="27"/>
  <c r="AE43" i="27"/>
  <c r="U30" i="27"/>
  <c r="AB34" i="27"/>
  <c r="AB36" i="27"/>
  <c r="G42" i="27"/>
  <c r="U42" i="27" s="1"/>
  <c r="N41" i="27"/>
  <c r="M42" i="27"/>
  <c r="N42" i="27" s="1"/>
  <c r="T17" i="27"/>
  <c r="U17" i="27" s="1"/>
  <c r="T21" i="27"/>
  <c r="U21" i="27" s="1"/>
  <c r="M43" i="28"/>
  <c r="N43" i="28" s="1"/>
  <c r="L25" i="27"/>
  <c r="AA15" i="27"/>
  <c r="AB15" i="27" s="1"/>
  <c r="M24" i="27"/>
  <c r="N24" i="27" s="1"/>
  <c r="L11" i="27"/>
  <c r="T23" i="27"/>
  <c r="U23" i="27" s="1"/>
  <c r="K11" i="27"/>
  <c r="I25" i="27"/>
  <c r="I43" i="27" s="1"/>
  <c r="AA21" i="27"/>
  <c r="AB21" i="27" s="1"/>
  <c r="T19" i="27"/>
  <c r="U19" i="27" s="1"/>
  <c r="M20" i="27"/>
  <c r="N20" i="27" s="1"/>
  <c r="AA20" i="27"/>
  <c r="AB20" i="27" s="1"/>
  <c r="U43" i="28"/>
  <c r="AC25" i="27"/>
  <c r="X25" i="27"/>
  <c r="X43" i="27" s="1"/>
  <c r="M23" i="27"/>
  <c r="N23" i="27" s="1"/>
  <c r="T16" i="27"/>
  <c r="U16" i="27" s="1"/>
  <c r="M17" i="27"/>
  <c r="N17" i="27" s="1"/>
  <c r="Y25" i="27"/>
  <c r="AA19" i="27"/>
  <c r="AB19" i="27" s="1"/>
  <c r="T20" i="27"/>
  <c r="U20" i="27" s="1"/>
  <c r="W11" i="27"/>
  <c r="M8" i="27"/>
  <c r="N8" i="27" s="1"/>
  <c r="M9" i="27"/>
  <c r="N9" i="27" s="1"/>
  <c r="K25" i="27"/>
  <c r="AA16" i="27"/>
  <c r="AB16" i="27" s="1"/>
  <c r="T18" i="27"/>
  <c r="U18" i="27" s="1"/>
  <c r="M21" i="27"/>
  <c r="N21" i="27" s="1"/>
  <c r="AA23" i="27"/>
  <c r="AB23" i="27" s="1"/>
  <c r="AC11" i="27"/>
  <c r="AC43" i="27" s="1"/>
  <c r="M16" i="27"/>
  <c r="N16" i="27" s="1"/>
  <c r="AD25" i="27"/>
  <c r="AD43" i="27" s="1"/>
  <c r="S25" i="27"/>
  <c r="S43" i="27" s="1"/>
  <c r="AA43" i="28"/>
  <c r="AB43" i="28" s="1"/>
  <c r="AB11" i="28"/>
  <c r="AB31" i="27"/>
  <c r="AA11" i="27"/>
  <c r="M14" i="27"/>
  <c r="G37" i="27"/>
  <c r="M3" i="23" s="1"/>
  <c r="AB6" i="27"/>
  <c r="T11" i="27"/>
  <c r="P25" i="27"/>
  <c r="P43" i="27" s="1"/>
  <c r="W25" i="27"/>
  <c r="AA14" i="27"/>
  <c r="V25" i="27"/>
  <c r="V43" i="27" s="1"/>
  <c r="AA17" i="27"/>
  <c r="AB17" i="27" s="1"/>
  <c r="Z25" i="27"/>
  <c r="Z43" i="27" s="1"/>
  <c r="M18" i="27"/>
  <c r="N18" i="27" s="1"/>
  <c r="AA18" i="27"/>
  <c r="AB18" i="27" s="1"/>
  <c r="M19" i="27"/>
  <c r="N19" i="27" s="1"/>
  <c r="M37" i="27"/>
  <c r="N28" i="27"/>
  <c r="AB35" i="27"/>
  <c r="T37" i="27"/>
  <c r="U37" i="27" s="1"/>
  <c r="Y42" i="27"/>
  <c r="AA40" i="27"/>
  <c r="M6" i="27"/>
  <c r="J11" i="27"/>
  <c r="T14" i="27"/>
  <c r="J25" i="27"/>
  <c r="AA24" i="27"/>
  <c r="AB24" i="27" s="1"/>
  <c r="AA37" i="27"/>
  <c r="AB37" i="27" s="1"/>
  <c r="AB28" i="27"/>
  <c r="N31" i="27"/>
  <c r="U40" i="27"/>
  <c r="N40" i="27"/>
  <c r="AB41" i="27"/>
  <c r="U28" i="27"/>
  <c r="N30" i="27"/>
  <c r="N34" i="27"/>
  <c r="H11" i="3"/>
  <c r="G43" i="27" l="1"/>
  <c r="N37" i="27"/>
  <c r="K43" i="27"/>
  <c r="W43" i="27"/>
  <c r="L43" i="27"/>
  <c r="Y43" i="27"/>
  <c r="AB40" i="27"/>
  <c r="AA42" i="27"/>
  <c r="AB42" i="27" s="1"/>
  <c r="N14" i="27"/>
  <c r="M25" i="27"/>
  <c r="T25" i="27"/>
  <c r="U14" i="27"/>
  <c r="J43" i="27"/>
  <c r="AA25" i="27"/>
  <c r="AB14" i="27"/>
  <c r="M11" i="27"/>
  <c r="N6" i="27"/>
  <c r="U11" i="27"/>
  <c r="AB11" i="27"/>
  <c r="AA43" i="27" l="1"/>
  <c r="AB43" i="27" s="1"/>
  <c r="U25" i="27"/>
  <c r="AB25" i="27"/>
  <c r="N25" i="27"/>
  <c r="N11" i="27"/>
  <c r="M43" i="27"/>
  <c r="N43" i="27" s="1"/>
  <c r="T43" i="27"/>
  <c r="U43" i="27" s="1"/>
  <c r="C42" i="25" l="1"/>
  <c r="H42" i="25"/>
  <c r="L42" i="25"/>
  <c r="R42" i="25"/>
  <c r="AD42" i="25"/>
  <c r="K42" i="25"/>
  <c r="Q11" i="25"/>
  <c r="AC11" i="25"/>
  <c r="AA20" i="25"/>
  <c r="AA21" i="25"/>
  <c r="G28" i="25"/>
  <c r="W37" i="25"/>
  <c r="G29" i="25"/>
  <c r="H37" i="25"/>
  <c r="X37" i="25"/>
  <c r="E37" i="25"/>
  <c r="T31" i="25"/>
  <c r="G32" i="25"/>
  <c r="T35" i="25"/>
  <c r="G36" i="25"/>
  <c r="AA36" i="25"/>
  <c r="S42" i="25"/>
  <c r="E11" i="25"/>
  <c r="E42" i="25"/>
  <c r="J42" i="25"/>
  <c r="V42" i="25"/>
  <c r="Z42" i="25"/>
  <c r="F42" i="25"/>
  <c r="X11" i="25"/>
  <c r="AA8" i="25"/>
  <c r="AA9" i="25"/>
  <c r="G15" i="25"/>
  <c r="L25" i="25"/>
  <c r="M16" i="25"/>
  <c r="P25" i="25"/>
  <c r="G18" i="25"/>
  <c r="D11" i="25"/>
  <c r="I11" i="25"/>
  <c r="T6" i="25"/>
  <c r="M14" i="25"/>
  <c r="T15" i="25"/>
  <c r="G16" i="25"/>
  <c r="N16" i="25" s="1"/>
  <c r="AA16" i="25"/>
  <c r="G17" i="25"/>
  <c r="M17" i="25"/>
  <c r="X25" i="25"/>
  <c r="AE42" i="25"/>
  <c r="G7" i="25"/>
  <c r="M9" i="25"/>
  <c r="AA10" i="25"/>
  <c r="AA18" i="25"/>
  <c r="AA19" i="25"/>
  <c r="D25" i="25"/>
  <c r="M21" i="25"/>
  <c r="AA22" i="25"/>
  <c r="M28" i="25"/>
  <c r="P37" i="25"/>
  <c r="M31" i="25"/>
  <c r="T32" i="25"/>
  <c r="T33" i="25"/>
  <c r="AA33" i="25"/>
  <c r="G34" i="25"/>
  <c r="M35" i="25"/>
  <c r="L37" i="25"/>
  <c r="G41" i="25"/>
  <c r="P11" i="25"/>
  <c r="Y11" i="25"/>
  <c r="AA7" i="25"/>
  <c r="G8" i="25"/>
  <c r="M10" i="25"/>
  <c r="R25" i="25"/>
  <c r="I25" i="25"/>
  <c r="Y25" i="25"/>
  <c r="AC25" i="25"/>
  <c r="M19" i="25"/>
  <c r="T20" i="25"/>
  <c r="T21" i="25"/>
  <c r="G22" i="25"/>
  <c r="G23" i="25"/>
  <c r="M23" i="25"/>
  <c r="M24" i="25"/>
  <c r="Q37" i="25"/>
  <c r="AC37" i="25"/>
  <c r="G30" i="25"/>
  <c r="AA32" i="25"/>
  <c r="B42" i="25"/>
  <c r="Q42" i="25"/>
  <c r="W42" i="25"/>
  <c r="M41" i="25"/>
  <c r="L11" i="25"/>
  <c r="M7" i="25"/>
  <c r="M8" i="25"/>
  <c r="T9" i="25"/>
  <c r="G10" i="25"/>
  <c r="Q25" i="25"/>
  <c r="E25" i="25"/>
  <c r="T19" i="25"/>
  <c r="G20" i="25"/>
  <c r="M22" i="25"/>
  <c r="T23" i="25"/>
  <c r="G24" i="25"/>
  <c r="N24" i="25" s="1"/>
  <c r="AA24" i="25"/>
  <c r="I37" i="25"/>
  <c r="Y37" i="25"/>
  <c r="AA30" i="25"/>
  <c r="D37" i="25"/>
  <c r="M33" i="25"/>
  <c r="AA34" i="25"/>
  <c r="M36" i="25"/>
  <c r="D42" i="25"/>
  <c r="I42" i="25"/>
  <c r="T41" i="25"/>
  <c r="H25" i="25"/>
  <c r="M15" i="25"/>
  <c r="AA6" i="25"/>
  <c r="T7" i="25"/>
  <c r="H11" i="25"/>
  <c r="M6" i="25"/>
  <c r="T17" i="25"/>
  <c r="AA28" i="25"/>
  <c r="T29" i="25"/>
  <c r="AA40" i="25"/>
  <c r="T10" i="25"/>
  <c r="B25" i="25"/>
  <c r="J25" i="25"/>
  <c r="T14" i="25"/>
  <c r="O25" i="25"/>
  <c r="S25" i="25"/>
  <c r="R37" i="25"/>
  <c r="M30" i="25"/>
  <c r="G31" i="25"/>
  <c r="T34" i="25"/>
  <c r="X42" i="25"/>
  <c r="B11" i="25"/>
  <c r="J11" i="25"/>
  <c r="R11" i="25"/>
  <c r="AD11" i="25"/>
  <c r="C25" i="25"/>
  <c r="K25" i="25"/>
  <c r="V25" i="25"/>
  <c r="Z25" i="25"/>
  <c r="AA15" i="25"/>
  <c r="T16" i="25"/>
  <c r="M18" i="25"/>
  <c r="C11" i="25"/>
  <c r="G6" i="25"/>
  <c r="K11" i="25"/>
  <c r="O11" i="25"/>
  <c r="S11" i="25"/>
  <c r="W11" i="25"/>
  <c r="AE11" i="25"/>
  <c r="T8" i="25"/>
  <c r="G9" i="25"/>
  <c r="W25" i="25"/>
  <c r="AA14" i="25"/>
  <c r="AA17" i="25"/>
  <c r="T18" i="25"/>
  <c r="M20" i="25"/>
  <c r="G21" i="25"/>
  <c r="C37" i="25"/>
  <c r="K37" i="25"/>
  <c r="V37" i="25"/>
  <c r="Z37" i="25"/>
  <c r="AE37" i="25"/>
  <c r="T30" i="25"/>
  <c r="AA31" i="25"/>
  <c r="M34" i="25"/>
  <c r="G35" i="25"/>
  <c r="G40" i="25"/>
  <c r="P42" i="25"/>
  <c r="F25" i="25"/>
  <c r="AD25" i="25"/>
  <c r="T22" i="25"/>
  <c r="AA35" i="25"/>
  <c r="AC42" i="25"/>
  <c r="F11" i="25"/>
  <c r="V11" i="25"/>
  <c r="Z11" i="25"/>
  <c r="G14" i="25"/>
  <c r="AE25" i="25"/>
  <c r="G19" i="25"/>
  <c r="AA23" i="25"/>
  <c r="T24" i="25"/>
  <c r="B37" i="25"/>
  <c r="F37" i="25"/>
  <c r="J37" i="25"/>
  <c r="T28" i="25"/>
  <c r="O37" i="25"/>
  <c r="S37" i="25"/>
  <c r="AD37" i="25"/>
  <c r="M29" i="25"/>
  <c r="AA29" i="25"/>
  <c r="M32" i="25"/>
  <c r="G33" i="25"/>
  <c r="T36" i="25"/>
  <c r="T40" i="25"/>
  <c r="Y42" i="25"/>
  <c r="AA41" i="25"/>
  <c r="O42" i="25"/>
  <c r="M40" i="25"/>
  <c r="AB7" i="25" l="1"/>
  <c r="N32" i="25"/>
  <c r="U22" i="25"/>
  <c r="AB10" i="25"/>
  <c r="Q43" i="25"/>
  <c r="U29" i="25"/>
  <c r="N28" i="25"/>
  <c r="AB29" i="25"/>
  <c r="AB20" i="25"/>
  <c r="U18" i="25"/>
  <c r="N15" i="25"/>
  <c r="U35" i="25"/>
  <c r="AB17" i="25"/>
  <c r="N18" i="25"/>
  <c r="N31" i="25"/>
  <c r="AB8" i="25"/>
  <c r="U36" i="25"/>
  <c r="U17" i="25"/>
  <c r="N36" i="25"/>
  <c r="AB30" i="25"/>
  <c r="AB33" i="25"/>
  <c r="U15" i="25"/>
  <c r="N34" i="25"/>
  <c r="AB21" i="25"/>
  <c r="U31" i="25"/>
  <c r="U10" i="25"/>
  <c r="AB34" i="25"/>
  <c r="AB36" i="25"/>
  <c r="U34" i="25"/>
  <c r="AB32" i="25"/>
  <c r="N29" i="25"/>
  <c r="AC43" i="25"/>
  <c r="N19" i="25"/>
  <c r="U32" i="25"/>
  <c r="AB16" i="25"/>
  <c r="U8" i="25"/>
  <c r="U23" i="25"/>
  <c r="N8" i="25"/>
  <c r="N23" i="25"/>
  <c r="U20" i="25"/>
  <c r="AB23" i="25"/>
  <c r="U6" i="25"/>
  <c r="I43" i="25"/>
  <c r="AB41" i="25"/>
  <c r="Y43" i="25"/>
  <c r="AB19" i="25"/>
  <c r="P43" i="25"/>
  <c r="N20" i="25"/>
  <c r="AB15" i="25"/>
  <c r="N30" i="25"/>
  <c r="U7" i="25"/>
  <c r="N33" i="25"/>
  <c r="N22" i="25"/>
  <c r="N7" i="25"/>
  <c r="AB22" i="25"/>
  <c r="AB18" i="25"/>
  <c r="G37" i="25"/>
  <c r="AB35" i="25"/>
  <c r="G42" i="25"/>
  <c r="N9" i="25"/>
  <c r="L43" i="25"/>
  <c r="N10" i="25"/>
  <c r="AB24" i="25"/>
  <c r="U16" i="25"/>
  <c r="U33" i="25"/>
  <c r="AA11" i="25"/>
  <c r="N41" i="25"/>
  <c r="U24" i="25"/>
  <c r="G25" i="25"/>
  <c r="N3" i="20" s="1"/>
  <c r="U30" i="25"/>
  <c r="S43" i="25"/>
  <c r="X43" i="25"/>
  <c r="M25" i="25"/>
  <c r="U41" i="25"/>
  <c r="N17" i="25"/>
  <c r="U28" i="25"/>
  <c r="T37" i="25"/>
  <c r="U37" i="25" s="1"/>
  <c r="N6" i="25"/>
  <c r="M11" i="25"/>
  <c r="AB6" i="25"/>
  <c r="O43" i="25"/>
  <c r="AB28" i="25"/>
  <c r="AA37" i="25"/>
  <c r="T11" i="25"/>
  <c r="H43" i="25"/>
  <c r="AB9" i="25"/>
  <c r="N14" i="25"/>
  <c r="V43" i="25"/>
  <c r="AE43" i="25"/>
  <c r="K43" i="25"/>
  <c r="J43" i="25"/>
  <c r="N21" i="25"/>
  <c r="U19" i="25"/>
  <c r="M42" i="25"/>
  <c r="N40" i="25"/>
  <c r="T42" i="25"/>
  <c r="U40" i="25"/>
  <c r="AB31" i="25"/>
  <c r="W43" i="25"/>
  <c r="G11" i="25"/>
  <c r="U14" i="25"/>
  <c r="T25" i="25"/>
  <c r="AB40" i="25"/>
  <c r="AA42" i="25"/>
  <c r="N35" i="25"/>
  <c r="U9" i="25"/>
  <c r="U21" i="25"/>
  <c r="AD43" i="25"/>
  <c r="Z43" i="25"/>
  <c r="R43" i="25"/>
  <c r="M37" i="25"/>
  <c r="AB14" i="25"/>
  <c r="AA25" i="25"/>
  <c r="N25" i="25" l="1"/>
  <c r="AB42" i="25"/>
  <c r="U42" i="25"/>
  <c r="N37" i="25"/>
  <c r="AB37" i="25"/>
  <c r="N42" i="25"/>
  <c r="G43" i="25"/>
  <c r="N3" i="17"/>
  <c r="AB25" i="25"/>
  <c r="U25" i="25"/>
  <c r="T43" i="25"/>
  <c r="U11" i="25"/>
  <c r="AA43" i="25"/>
  <c r="AB11" i="25"/>
  <c r="N11" i="25"/>
  <c r="M43" i="25"/>
  <c r="N43" i="25" l="1"/>
  <c r="U43" i="25"/>
  <c r="AB43" i="25"/>
  <c r="Y37" i="3"/>
  <c r="Y11" i="3"/>
  <c r="R42" i="3"/>
  <c r="R37" i="3"/>
  <c r="R25" i="3"/>
  <c r="R11" i="3"/>
  <c r="K37" i="3"/>
  <c r="E42" i="3"/>
  <c r="E37" i="3"/>
  <c r="E25" i="3"/>
  <c r="E11" i="3"/>
  <c r="AE42" i="3"/>
  <c r="AE37" i="3"/>
  <c r="AE25" i="3"/>
  <c r="AE11" i="3"/>
  <c r="AD37" i="3"/>
  <c r="AE43" i="3" l="1"/>
  <c r="R43" i="3"/>
  <c r="AD42" i="3"/>
  <c r="AD11" i="3"/>
  <c r="AC37" i="3"/>
  <c r="Z37" i="3" l="1"/>
  <c r="Z11" i="3"/>
  <c r="X42" i="3"/>
  <c r="X37" i="3"/>
  <c r="X11" i="3"/>
  <c r="W42" i="3"/>
  <c r="W37" i="3"/>
  <c r="V37" i="3"/>
  <c r="V11" i="3"/>
  <c r="S37" i="3"/>
  <c r="S11" i="3"/>
  <c r="Q42" i="3"/>
  <c r="Q37" i="3"/>
  <c r="Q25" i="3"/>
  <c r="Q11" i="3"/>
  <c r="P42" i="3"/>
  <c r="P37" i="3"/>
  <c r="P11" i="3"/>
  <c r="O42" i="3"/>
  <c r="O37" i="3"/>
  <c r="O25" i="3"/>
  <c r="O11" i="3"/>
  <c r="L42" i="3"/>
  <c r="L37" i="3"/>
  <c r="J37" i="3"/>
  <c r="I42" i="3"/>
  <c r="I37" i="3"/>
  <c r="I11" i="3"/>
  <c r="H37" i="3"/>
  <c r="H25" i="3"/>
  <c r="F42" i="3"/>
  <c r="F37" i="3"/>
  <c r="F25" i="3"/>
  <c r="F11" i="3"/>
  <c r="D42" i="3"/>
  <c r="D37" i="3"/>
  <c r="D25" i="3"/>
  <c r="D11" i="3"/>
  <c r="C42" i="3"/>
  <c r="C37" i="3"/>
  <c r="C25" i="3"/>
  <c r="C11" i="3"/>
  <c r="H43" i="3" l="1"/>
  <c r="Q43" i="3"/>
  <c r="O43" i="3"/>
  <c r="D43" i="3"/>
  <c r="C43" i="3"/>
  <c r="F43" i="3"/>
  <c r="B42" i="3"/>
  <c r="B37" i="3" l="1"/>
  <c r="B25" i="3"/>
  <c r="B11" i="3"/>
  <c r="B43" i="3" l="1"/>
  <c r="E43" i="3" s="1"/>
  <c r="G37" i="13" l="1"/>
  <c r="K3" i="23" l="1"/>
  <c r="M28" i="9" l="1"/>
  <c r="AE42" i="13"/>
  <c r="AD42" i="13"/>
  <c r="AC42" i="13"/>
  <c r="AE25" i="13"/>
  <c r="AD25" i="13"/>
  <c r="AC25" i="13"/>
  <c r="AE11" i="13"/>
  <c r="AD11" i="13"/>
  <c r="AC11" i="13"/>
  <c r="AA42" i="13"/>
  <c r="AA25" i="13"/>
  <c r="AA11" i="13"/>
  <c r="T42" i="13"/>
  <c r="T25" i="13"/>
  <c r="T11" i="13"/>
  <c r="M42" i="13"/>
  <c r="M25" i="13"/>
  <c r="M11" i="13"/>
  <c r="G42" i="13"/>
  <c r="G25" i="13"/>
  <c r="M3" i="20" s="1"/>
  <c r="G11" i="13"/>
  <c r="M3" i="17" s="1"/>
  <c r="S42" i="13"/>
  <c r="R42" i="13"/>
  <c r="J42" i="13"/>
  <c r="B42" i="13"/>
  <c r="Z42" i="13"/>
  <c r="Y42" i="13"/>
  <c r="W42" i="13"/>
  <c r="Q42" i="13"/>
  <c r="P42" i="13"/>
  <c r="L42" i="13"/>
  <c r="K42" i="13"/>
  <c r="H42" i="13"/>
  <c r="F42" i="13"/>
  <c r="D42" i="13"/>
  <c r="C42" i="13"/>
  <c r="N35" i="13"/>
  <c r="Y37" i="13"/>
  <c r="Q37" i="13"/>
  <c r="U33" i="13"/>
  <c r="L37" i="13"/>
  <c r="I37" i="13"/>
  <c r="H37" i="13"/>
  <c r="D37" i="13"/>
  <c r="X37" i="13"/>
  <c r="E37" i="13"/>
  <c r="Z37" i="13"/>
  <c r="V37" i="13"/>
  <c r="L25" i="13"/>
  <c r="Y25" i="13"/>
  <c r="Q25" i="13"/>
  <c r="U23" i="13"/>
  <c r="N20" i="13"/>
  <c r="I25" i="13"/>
  <c r="D25" i="13"/>
  <c r="X25" i="13"/>
  <c r="P25" i="13"/>
  <c r="AB10" i="13"/>
  <c r="L11" i="13"/>
  <c r="D11" i="13"/>
  <c r="X11" i="13"/>
  <c r="Z11" i="13"/>
  <c r="Y11" i="13"/>
  <c r="E11" i="13"/>
  <c r="AD14" i="3"/>
  <c r="AD16" i="3"/>
  <c r="AD17" i="3"/>
  <c r="AD18" i="3"/>
  <c r="AD19" i="3"/>
  <c r="AD20" i="3"/>
  <c r="AD23" i="3"/>
  <c r="AD24" i="3"/>
  <c r="AC42" i="3"/>
  <c r="AC24" i="3"/>
  <c r="AC21" i="3"/>
  <c r="AC20" i="3"/>
  <c r="AC19" i="3"/>
  <c r="AC18" i="3"/>
  <c r="AC17" i="3"/>
  <c r="AC16" i="3"/>
  <c r="AC14" i="3"/>
  <c r="AC8" i="3"/>
  <c r="AC9" i="3"/>
  <c r="AC6" i="3"/>
  <c r="AC11" i="3" s="1"/>
  <c r="AA41" i="3"/>
  <c r="AA30" i="3"/>
  <c r="AA31" i="3"/>
  <c r="AA34" i="3"/>
  <c r="AA35" i="3"/>
  <c r="Z40" i="3"/>
  <c r="Z42" i="3" s="1"/>
  <c r="Z24" i="3"/>
  <c r="Z23" i="3"/>
  <c r="Z20" i="3"/>
  <c r="Z19" i="3"/>
  <c r="Z18" i="3"/>
  <c r="Z17" i="3"/>
  <c r="Z16" i="3"/>
  <c r="Z15" i="3"/>
  <c r="Z14" i="3"/>
  <c r="Y40" i="3"/>
  <c r="AA36" i="3"/>
  <c r="AA33" i="3"/>
  <c r="AA32" i="3"/>
  <c r="AA29" i="3"/>
  <c r="AA28" i="3"/>
  <c r="Y24" i="3"/>
  <c r="Y23" i="3"/>
  <c r="Y21" i="3"/>
  <c r="Y20" i="3"/>
  <c r="Y19" i="3"/>
  <c r="Y18" i="3"/>
  <c r="Y17" i="3"/>
  <c r="Y14" i="3"/>
  <c r="X20" i="3"/>
  <c r="X19" i="3"/>
  <c r="X18" i="3"/>
  <c r="X17" i="3"/>
  <c r="X14" i="3"/>
  <c r="W23" i="3"/>
  <c r="AA22" i="3"/>
  <c r="W21" i="3"/>
  <c r="W20" i="3"/>
  <c r="W19" i="3"/>
  <c r="W18" i="3"/>
  <c r="AA18" i="3" s="1"/>
  <c r="W17" i="3"/>
  <c r="W16" i="3"/>
  <c r="W15" i="3"/>
  <c r="W14" i="3"/>
  <c r="W7" i="3"/>
  <c r="AA7" i="3" s="1"/>
  <c r="W8" i="3"/>
  <c r="AA8" i="3" s="1"/>
  <c r="W9" i="3"/>
  <c r="AA9" i="3" s="1"/>
  <c r="W10" i="3"/>
  <c r="AA10" i="3" s="1"/>
  <c r="W6" i="3"/>
  <c r="AA6" i="3" s="1"/>
  <c r="V24" i="3"/>
  <c r="V23" i="3"/>
  <c r="V21" i="3"/>
  <c r="V20" i="3"/>
  <c r="V19" i="3"/>
  <c r="V17" i="3"/>
  <c r="V16" i="3"/>
  <c r="V15" i="3"/>
  <c r="V25" i="3" s="1"/>
  <c r="V43" i="3" s="1"/>
  <c r="V14" i="3"/>
  <c r="T41" i="3"/>
  <c r="T40" i="3"/>
  <c r="T29" i="3"/>
  <c r="T33" i="3"/>
  <c r="T15" i="3"/>
  <c r="T22" i="3"/>
  <c r="T7" i="3"/>
  <c r="T8" i="3"/>
  <c r="T10" i="3"/>
  <c r="T6" i="3"/>
  <c r="S23" i="3"/>
  <c r="S21" i="3"/>
  <c r="T21" i="3" s="1"/>
  <c r="S20" i="3"/>
  <c r="S19" i="3"/>
  <c r="T19" i="3" s="1"/>
  <c r="S18" i="3"/>
  <c r="S17" i="3"/>
  <c r="S16" i="3"/>
  <c r="T36" i="3"/>
  <c r="T35" i="3"/>
  <c r="T34" i="3"/>
  <c r="T32" i="3"/>
  <c r="T31" i="3"/>
  <c r="T30" i="3"/>
  <c r="T28" i="3"/>
  <c r="T24" i="3"/>
  <c r="P23" i="3"/>
  <c r="T23" i="3" s="1"/>
  <c r="P20" i="3"/>
  <c r="P19" i="3"/>
  <c r="P18" i="3"/>
  <c r="P17" i="3"/>
  <c r="P16" i="3"/>
  <c r="P14" i="3"/>
  <c r="M29" i="3"/>
  <c r="M30" i="3"/>
  <c r="M33" i="3"/>
  <c r="M34" i="3"/>
  <c r="M28" i="3"/>
  <c r="M7" i="3"/>
  <c r="M10" i="3"/>
  <c r="L24" i="3"/>
  <c r="L23" i="3"/>
  <c r="L21" i="3"/>
  <c r="L20" i="3"/>
  <c r="L19" i="3"/>
  <c r="L18" i="3"/>
  <c r="L17" i="3"/>
  <c r="L16" i="3"/>
  <c r="L14" i="3"/>
  <c r="L8" i="3"/>
  <c r="L9" i="3"/>
  <c r="L6" i="3"/>
  <c r="M41" i="3"/>
  <c r="M42" i="3" s="1"/>
  <c r="M36" i="3"/>
  <c r="M35" i="3"/>
  <c r="M32" i="3"/>
  <c r="M31" i="3"/>
  <c r="K23" i="3"/>
  <c r="M22" i="3"/>
  <c r="K18" i="3"/>
  <c r="K16" i="3"/>
  <c r="K14" i="3"/>
  <c r="K25" i="3" s="1"/>
  <c r="K8" i="3"/>
  <c r="M8" i="3" s="1"/>
  <c r="K9" i="3"/>
  <c r="M9" i="3" s="1"/>
  <c r="K6" i="3"/>
  <c r="J23" i="3"/>
  <c r="J20" i="3"/>
  <c r="J18" i="3"/>
  <c r="J16" i="3"/>
  <c r="J14" i="3"/>
  <c r="J6" i="3"/>
  <c r="M6" i="3" s="1"/>
  <c r="I24" i="3"/>
  <c r="I23" i="3"/>
  <c r="I21" i="3"/>
  <c r="M21" i="3" s="1"/>
  <c r="I20" i="3"/>
  <c r="M20" i="3" s="1"/>
  <c r="I19" i="3"/>
  <c r="I18" i="3"/>
  <c r="I17" i="3"/>
  <c r="I16" i="3"/>
  <c r="I15" i="3"/>
  <c r="I14" i="3"/>
  <c r="G41" i="3"/>
  <c r="G30" i="3"/>
  <c r="G34" i="3"/>
  <c r="G35" i="3"/>
  <c r="G22" i="3"/>
  <c r="G17" i="3"/>
  <c r="G23" i="3"/>
  <c r="G8" i="3"/>
  <c r="G9" i="3"/>
  <c r="G40" i="3"/>
  <c r="G36" i="3"/>
  <c r="G33" i="3"/>
  <c r="G24" i="3"/>
  <c r="G21" i="3"/>
  <c r="G20" i="3"/>
  <c r="G19" i="3"/>
  <c r="G32" i="3"/>
  <c r="G29" i="3"/>
  <c r="G28" i="3"/>
  <c r="G18" i="3"/>
  <c r="G16" i="3"/>
  <c r="G15" i="3"/>
  <c r="G14" i="3"/>
  <c r="G7" i="3"/>
  <c r="G10" i="3"/>
  <c r="G6" i="3"/>
  <c r="H42" i="8"/>
  <c r="G42" i="8"/>
  <c r="F42" i="8"/>
  <c r="E42" i="8"/>
  <c r="D42" i="8"/>
  <c r="C42" i="8"/>
  <c r="B42" i="8"/>
  <c r="H37" i="8"/>
  <c r="G37" i="8"/>
  <c r="F37" i="8"/>
  <c r="E37" i="8"/>
  <c r="D37" i="8"/>
  <c r="C37" i="8"/>
  <c r="B37" i="8"/>
  <c r="H25" i="8"/>
  <c r="G25" i="8"/>
  <c r="F25" i="8"/>
  <c r="E25" i="8"/>
  <c r="D25" i="8"/>
  <c r="C25" i="8"/>
  <c r="B25" i="8"/>
  <c r="H11" i="8"/>
  <c r="G11" i="8"/>
  <c r="F11" i="8"/>
  <c r="E11" i="8"/>
  <c r="D11" i="8"/>
  <c r="C11" i="8"/>
  <c r="B11" i="8"/>
  <c r="H42" i="6"/>
  <c r="G42" i="6"/>
  <c r="E42" i="6"/>
  <c r="C42" i="6"/>
  <c r="F41" i="6"/>
  <c r="F42" i="6" s="1"/>
  <c r="D41" i="6"/>
  <c r="D42" i="6" s="1"/>
  <c r="B41" i="6"/>
  <c r="B40" i="6"/>
  <c r="B42" i="6" s="1"/>
  <c r="G37" i="6"/>
  <c r="H36" i="6"/>
  <c r="F36" i="6"/>
  <c r="E36" i="6"/>
  <c r="E37" i="6" s="1"/>
  <c r="D36" i="6"/>
  <c r="C36" i="6"/>
  <c r="B36" i="6"/>
  <c r="B35" i="6"/>
  <c r="H34" i="6"/>
  <c r="F34" i="6"/>
  <c r="B34" i="6"/>
  <c r="H33" i="6"/>
  <c r="F33" i="6"/>
  <c r="B33" i="6"/>
  <c r="F32" i="6"/>
  <c r="C32" i="6"/>
  <c r="B32" i="6"/>
  <c r="H31" i="6"/>
  <c r="H37" i="6" s="1"/>
  <c r="F31" i="6"/>
  <c r="B31" i="6"/>
  <c r="D30" i="6"/>
  <c r="B30" i="6"/>
  <c r="C29" i="6"/>
  <c r="C37" i="6" s="1"/>
  <c r="B29" i="6"/>
  <c r="D28" i="6"/>
  <c r="D37" i="6" s="1"/>
  <c r="B28" i="6"/>
  <c r="H25" i="6"/>
  <c r="G25" i="6"/>
  <c r="F25" i="6"/>
  <c r="E25" i="6"/>
  <c r="C25" i="6"/>
  <c r="B24" i="6"/>
  <c r="D22" i="6"/>
  <c r="D25" i="6"/>
  <c r="B22" i="6"/>
  <c r="B21" i="6"/>
  <c r="B20" i="6"/>
  <c r="B19" i="6"/>
  <c r="B17" i="6"/>
  <c r="B16" i="6"/>
  <c r="B15" i="6"/>
  <c r="B14" i="6"/>
  <c r="H11" i="6"/>
  <c r="G11" i="6"/>
  <c r="F11" i="6"/>
  <c r="E11" i="6"/>
  <c r="C11" i="6"/>
  <c r="D10" i="6"/>
  <c r="D11" i="6" s="1"/>
  <c r="B10" i="6"/>
  <c r="B9" i="6"/>
  <c r="B8" i="6"/>
  <c r="B7" i="6"/>
  <c r="B6" i="6"/>
  <c r="B11" i="6" s="1"/>
  <c r="D25" i="5"/>
  <c r="H42" i="4"/>
  <c r="G42" i="4"/>
  <c r="F42" i="4"/>
  <c r="E42" i="4"/>
  <c r="D42" i="4"/>
  <c r="C42" i="4"/>
  <c r="B42" i="4"/>
  <c r="H37" i="4"/>
  <c r="G37" i="4"/>
  <c r="F37" i="4"/>
  <c r="E37" i="4"/>
  <c r="D37" i="4"/>
  <c r="C37" i="4"/>
  <c r="B37" i="4"/>
  <c r="H25" i="4"/>
  <c r="G25" i="4"/>
  <c r="F25" i="4"/>
  <c r="E25" i="4"/>
  <c r="D25" i="4"/>
  <c r="C25" i="4"/>
  <c r="B25" i="4"/>
  <c r="H11" i="4"/>
  <c r="G11" i="4"/>
  <c r="F11" i="4"/>
  <c r="E11" i="4"/>
  <c r="D11" i="4"/>
  <c r="C11" i="4"/>
  <c r="B11" i="4"/>
  <c r="B25" i="6" l="1"/>
  <c r="M19" i="3"/>
  <c r="AA19" i="3"/>
  <c r="M17" i="3"/>
  <c r="AA20" i="3"/>
  <c r="T18" i="3"/>
  <c r="AA21" i="3"/>
  <c r="B37" i="6"/>
  <c r="M24" i="3"/>
  <c r="N24" i="3" s="1"/>
  <c r="F37" i="6"/>
  <c r="L11" i="3"/>
  <c r="AA16" i="3"/>
  <c r="M23" i="3"/>
  <c r="N23" i="3" s="1"/>
  <c r="AA14" i="3"/>
  <c r="AB14" i="3" s="1"/>
  <c r="AD25" i="3"/>
  <c r="AD43" i="3" s="1"/>
  <c r="M14" i="3"/>
  <c r="N14" i="3" s="1"/>
  <c r="M18" i="3"/>
  <c r="P25" i="3"/>
  <c r="P43" i="3" s="1"/>
  <c r="S25" i="3"/>
  <c r="S43" i="3" s="1"/>
  <c r="W11" i="3"/>
  <c r="AA23" i="3"/>
  <c r="AB23" i="3" s="1"/>
  <c r="AB18" i="3"/>
  <c r="J25" i="3"/>
  <c r="T16" i="3"/>
  <c r="T25" i="3" s="1"/>
  <c r="T20" i="3"/>
  <c r="U20" i="3" s="1"/>
  <c r="Y25" i="3"/>
  <c r="AB16" i="3"/>
  <c r="M16" i="3"/>
  <c r="N16" i="3" s="1"/>
  <c r="L25" i="3"/>
  <c r="L43" i="3" s="1"/>
  <c r="AA24" i="3"/>
  <c r="AB24" i="3" s="1"/>
  <c r="W25" i="3"/>
  <c r="Z25" i="3"/>
  <c r="AC25" i="3"/>
  <c r="AC43" i="3" s="1"/>
  <c r="AB19" i="3"/>
  <c r="T17" i="3"/>
  <c r="AA17" i="3"/>
  <c r="AA40" i="3"/>
  <c r="AA42" i="3" s="1"/>
  <c r="Y42" i="3"/>
  <c r="Y43" i="3" s="1"/>
  <c r="U21" i="3"/>
  <c r="U6" i="3"/>
  <c r="M11" i="3"/>
  <c r="U40" i="3"/>
  <c r="N15" i="3"/>
  <c r="U28" i="3"/>
  <c r="N35" i="3"/>
  <c r="J11" i="3"/>
  <c r="T14" i="3"/>
  <c r="U14" i="3" s="1"/>
  <c r="I25" i="3"/>
  <c r="I43" i="3" s="1"/>
  <c r="T9" i="3"/>
  <c r="U9" i="3" s="1"/>
  <c r="T42" i="3"/>
  <c r="G31" i="3"/>
  <c r="W43" i="3"/>
  <c r="K11" i="3"/>
  <c r="K43" i="3" s="1"/>
  <c r="AA15" i="3"/>
  <c r="AB15" i="3" s="1"/>
  <c r="X25" i="3"/>
  <c r="X43" i="3" s="1"/>
  <c r="Z43" i="3"/>
  <c r="AB41" i="3"/>
  <c r="AB36" i="3"/>
  <c r="AA37" i="3"/>
  <c r="AA11" i="3"/>
  <c r="AB10" i="3"/>
  <c r="U29" i="3"/>
  <c r="T37" i="3"/>
  <c r="U32" i="3"/>
  <c r="U15" i="3"/>
  <c r="U8" i="3"/>
  <c r="N30" i="3"/>
  <c r="N32" i="3"/>
  <c r="M37" i="3"/>
  <c r="N22" i="3"/>
  <c r="N17" i="3"/>
  <c r="N20" i="3"/>
  <c r="N9" i="3"/>
  <c r="N6" i="3"/>
  <c r="N7" i="3"/>
  <c r="AB20" i="3"/>
  <c r="AB30" i="3"/>
  <c r="G42" i="3"/>
  <c r="U30" i="3"/>
  <c r="U24" i="3"/>
  <c r="U23" i="3"/>
  <c r="U17" i="3"/>
  <c r="AB17" i="3"/>
  <c r="U7" i="3"/>
  <c r="AB6" i="3"/>
  <c r="AB7" i="3"/>
  <c r="N41" i="3"/>
  <c r="N40" i="3"/>
  <c r="U41" i="3"/>
  <c r="AB32" i="3"/>
  <c r="N28" i="3"/>
  <c r="AB28" i="3"/>
  <c r="N29" i="3"/>
  <c r="U36" i="3"/>
  <c r="U35" i="3"/>
  <c r="AB35" i="3"/>
  <c r="U34" i="3"/>
  <c r="N34" i="3"/>
  <c r="AB29" i="3"/>
  <c r="U33" i="3"/>
  <c r="N36" i="3"/>
  <c r="AB34" i="3"/>
  <c r="N33" i="3"/>
  <c r="AB33" i="3"/>
  <c r="AB22" i="3"/>
  <c r="N21" i="3"/>
  <c r="AB21" i="3"/>
  <c r="U18" i="3"/>
  <c r="G25" i="3"/>
  <c r="P3" i="20" s="1"/>
  <c r="U22" i="3"/>
  <c r="N19" i="3"/>
  <c r="U19" i="3"/>
  <c r="N10" i="3"/>
  <c r="AB8" i="3"/>
  <c r="N8" i="3"/>
  <c r="G11" i="3"/>
  <c r="P3" i="17" s="1"/>
  <c r="AB9" i="3"/>
  <c r="U10" i="3"/>
  <c r="Y43" i="13"/>
  <c r="L43" i="13"/>
  <c r="N33" i="13"/>
  <c r="N34" i="13"/>
  <c r="U35" i="13"/>
  <c r="AB34" i="13"/>
  <c r="AB22" i="13"/>
  <c r="N22" i="13"/>
  <c r="AB20" i="13"/>
  <c r="N9" i="13"/>
  <c r="N10" i="13"/>
  <c r="U7" i="13"/>
  <c r="AB31" i="13"/>
  <c r="U8" i="13"/>
  <c r="AB24" i="13"/>
  <c r="AC43" i="13"/>
  <c r="AB16" i="13"/>
  <c r="AB8" i="13"/>
  <c r="U18" i="13"/>
  <c r="V42" i="13"/>
  <c r="Q11" i="13"/>
  <c r="Q43" i="13" s="1"/>
  <c r="V11" i="13"/>
  <c r="Z43" i="13"/>
  <c r="N8" i="13"/>
  <c r="E25" i="13"/>
  <c r="U15" i="13"/>
  <c r="AB18" i="13"/>
  <c r="U20" i="13"/>
  <c r="N23" i="13"/>
  <c r="P37" i="13"/>
  <c r="N31" i="13"/>
  <c r="AB32" i="13"/>
  <c r="AB36" i="13"/>
  <c r="I11" i="13"/>
  <c r="N7" i="13"/>
  <c r="H11" i="13"/>
  <c r="W25" i="13"/>
  <c r="C37" i="13"/>
  <c r="K37" i="13"/>
  <c r="W37" i="13"/>
  <c r="U30" i="13"/>
  <c r="N32" i="13"/>
  <c r="N29" i="13"/>
  <c r="U9" i="13"/>
  <c r="R25" i="13"/>
  <c r="H25" i="13"/>
  <c r="N15" i="13"/>
  <c r="N21" i="13"/>
  <c r="AB29" i="13"/>
  <c r="AB30" i="13"/>
  <c r="U32" i="13"/>
  <c r="U41" i="13"/>
  <c r="B11" i="13"/>
  <c r="F11" i="13"/>
  <c r="J11" i="13"/>
  <c r="R11" i="13"/>
  <c r="W11" i="13"/>
  <c r="AB9" i="13"/>
  <c r="U10" i="13"/>
  <c r="P11" i="13"/>
  <c r="P43" i="13" s="1"/>
  <c r="B25" i="13"/>
  <c r="F25" i="13"/>
  <c r="J25" i="13"/>
  <c r="O25" i="13"/>
  <c r="S25" i="13"/>
  <c r="N16" i="13"/>
  <c r="N17" i="13"/>
  <c r="U22" i="13"/>
  <c r="N24" i="13"/>
  <c r="R37" i="13"/>
  <c r="AB33" i="13"/>
  <c r="U34" i="13"/>
  <c r="N36" i="13"/>
  <c r="E42" i="13"/>
  <c r="I42" i="13"/>
  <c r="X42" i="13"/>
  <c r="X43" i="13" s="1"/>
  <c r="AB41" i="13"/>
  <c r="C11" i="13"/>
  <c r="K11" i="13"/>
  <c r="O11" i="13"/>
  <c r="S11" i="13"/>
  <c r="C25" i="13"/>
  <c r="K25" i="13"/>
  <c r="V25" i="13"/>
  <c r="Z25" i="13"/>
  <c r="AE43" i="13"/>
  <c r="AB15" i="13"/>
  <c r="U16" i="13"/>
  <c r="N18" i="13"/>
  <c r="AB19" i="13"/>
  <c r="AB23" i="13"/>
  <c r="U24" i="13"/>
  <c r="B37" i="13"/>
  <c r="F37" i="13"/>
  <c r="J37" i="13"/>
  <c r="O37" i="13"/>
  <c r="S37" i="13"/>
  <c r="N30" i="13"/>
  <c r="U31" i="13"/>
  <c r="AB35" i="13"/>
  <c r="U36" i="13"/>
  <c r="O42" i="13"/>
  <c r="U16" i="3" l="1"/>
  <c r="T11" i="3"/>
  <c r="R43" i="13"/>
  <c r="M25" i="3"/>
  <c r="N25" i="3" s="1"/>
  <c r="N18" i="3"/>
  <c r="AA25" i="3"/>
  <c r="AB25" i="3" s="1"/>
  <c r="J43" i="3"/>
  <c r="AB40" i="3"/>
  <c r="G37" i="3"/>
  <c r="U31" i="3"/>
  <c r="N31" i="3"/>
  <c r="AB31" i="3"/>
  <c r="T43" i="3"/>
  <c r="U42" i="3"/>
  <c r="N42" i="3"/>
  <c r="AB42" i="3"/>
  <c r="U25" i="3"/>
  <c r="U11" i="3"/>
  <c r="AB11" i="3"/>
  <c r="S43" i="13"/>
  <c r="O43" i="13"/>
  <c r="AB7" i="13"/>
  <c r="U14" i="13"/>
  <c r="AB28" i="13"/>
  <c r="AB37" i="13"/>
  <c r="I43" i="13"/>
  <c r="AB6" i="13"/>
  <c r="U17" i="13"/>
  <c r="U6" i="13"/>
  <c r="J43" i="13"/>
  <c r="N41" i="13"/>
  <c r="U21" i="13"/>
  <c r="H43" i="13"/>
  <c r="U42" i="13"/>
  <c r="U29" i="13"/>
  <c r="V43" i="13"/>
  <c r="AB17" i="13"/>
  <c r="U40" i="13"/>
  <c r="K43" i="13"/>
  <c r="AB21" i="13"/>
  <c r="N19" i="13"/>
  <c r="N14" i="13"/>
  <c r="AD43" i="13"/>
  <c r="U19" i="13"/>
  <c r="N40" i="13"/>
  <c r="U28" i="13"/>
  <c r="U37" i="13"/>
  <c r="N37" i="13"/>
  <c r="N28" i="13"/>
  <c r="W43" i="13"/>
  <c r="AB14" i="13"/>
  <c r="N6" i="13"/>
  <c r="AB40" i="13"/>
  <c r="AA43" i="3" l="1"/>
  <c r="AB37" i="3"/>
  <c r="N3" i="23"/>
  <c r="G43" i="3"/>
  <c r="U43" i="3" s="1"/>
  <c r="U37" i="3"/>
  <c r="N37" i="3"/>
  <c r="C14" i="15"/>
  <c r="G43" i="13"/>
  <c r="N11" i="13"/>
  <c r="M43" i="13"/>
  <c r="N25" i="13"/>
  <c r="N42" i="13"/>
  <c r="T43" i="13"/>
  <c r="U11" i="13"/>
  <c r="AA43" i="13"/>
  <c r="AB11" i="13"/>
  <c r="AB42" i="13"/>
  <c r="AB25" i="13"/>
  <c r="U25" i="13"/>
  <c r="AB43" i="3" l="1"/>
  <c r="AB43" i="13"/>
  <c r="N43" i="13"/>
  <c r="U43" i="13"/>
  <c r="M43" i="3"/>
  <c r="N43" i="3" s="1"/>
  <c r="N11" i="3"/>
</calcChain>
</file>

<file path=xl/sharedStrings.xml><?xml version="1.0" encoding="utf-8"?>
<sst xmlns="http://schemas.openxmlformats.org/spreadsheetml/2006/main" count="1192" uniqueCount="128">
  <si>
    <t>Anzahl der 
registrierten 
Hunde
(absolut)</t>
  </si>
  <si>
    <t>Pitbull Terrier</t>
  </si>
  <si>
    <t>Am. Staffordshire Terrier</t>
  </si>
  <si>
    <t>Bullterrier</t>
  </si>
  <si>
    <t>Alano</t>
  </si>
  <si>
    <t>American Bulldog</t>
  </si>
  <si>
    <t>Bullmastiff</t>
  </si>
  <si>
    <t>Mastiff</t>
  </si>
  <si>
    <t>Mastino Espanol</t>
  </si>
  <si>
    <t>Mastino Napoletano</t>
  </si>
  <si>
    <t>Fila Brasileiro</t>
  </si>
  <si>
    <t>Dogo Argentino</t>
  </si>
  <si>
    <t>Rottweiler</t>
  </si>
  <si>
    <t>Tosa Inu</t>
  </si>
  <si>
    <t>Staffordshire Bullterrier</t>
  </si>
  <si>
    <t>Berner Sennenhund</t>
  </si>
  <si>
    <t>Dobermann</t>
  </si>
  <si>
    <t>Golden Retriever</t>
  </si>
  <si>
    <t>Münsterländer</t>
  </si>
  <si>
    <t>Schäferhund</t>
  </si>
  <si>
    <t>Schäferhund-Mix</t>
  </si>
  <si>
    <t xml:space="preserve">Summe </t>
  </si>
  <si>
    <t>Summe</t>
  </si>
  <si>
    <t xml:space="preserve">Kreuzungen aus und mit 
diesen Rassen </t>
  </si>
  <si>
    <t xml:space="preserve">Rasse
</t>
  </si>
  <si>
    <t>Dogo Canario</t>
  </si>
  <si>
    <t>Sonstige große Hunde</t>
  </si>
  <si>
    <t>alle anderen kleinen Hunde</t>
  </si>
  <si>
    <t>"Kleine Hunde"</t>
  </si>
  <si>
    <t>Arnsberg</t>
  </si>
  <si>
    <t>Detmold</t>
  </si>
  <si>
    <t>Köln</t>
  </si>
  <si>
    <t xml:space="preserve">Münster </t>
  </si>
  <si>
    <r>
      <t xml:space="preserve">Beißvorfälle mit Verletzungen beim Menschen 
</t>
    </r>
    <r>
      <rPr>
        <b/>
        <sz val="8"/>
        <rFont val="Arial"/>
        <family val="2"/>
      </rPr>
      <t xml:space="preserve">im Berichtsjahr </t>
    </r>
  </si>
  <si>
    <t xml:space="preserve">Köln </t>
  </si>
  <si>
    <t>Deutsch Drahthaar</t>
  </si>
  <si>
    <t>Düsseldorf</t>
  </si>
  <si>
    <t xml:space="preserve">Düsseldorf </t>
  </si>
  <si>
    <t xml:space="preserve">geschätzt
nach Vorjahr, da ohne Angabe  </t>
  </si>
  <si>
    <t>Kleine Hunde 
geschätzt über
 80.000</t>
  </si>
  <si>
    <t>in v.H. der gemeldeten Population</t>
  </si>
  <si>
    <t xml:space="preserve">Miniatur- Bullterrier </t>
  </si>
  <si>
    <r>
      <t xml:space="preserve">Beißvorfälle 
mit Verletzungen 
bei anderem Tier 
</t>
    </r>
    <r>
      <rPr>
        <b/>
        <sz val="8"/>
        <rFont val="Arial"/>
        <family val="2"/>
      </rPr>
      <t xml:space="preserve">im Berichtsjahr </t>
    </r>
  </si>
  <si>
    <t>in v. H. der 
gemeldeten Population</t>
  </si>
  <si>
    <t xml:space="preserve">sonstige
gefährliche
 Vorfälle
 im Berichtsjahr </t>
  </si>
  <si>
    <r>
      <t xml:space="preserve">sonstige
gefährliche
 Vorfälle
</t>
    </r>
    <r>
      <rPr>
        <b/>
        <sz val="8"/>
        <rFont val="Arial"/>
        <family val="2"/>
      </rPr>
      <t xml:space="preserve"> im Berichtsjahr </t>
    </r>
  </si>
  <si>
    <t>Anzahl  der Entscheidungen gem. § 3 Abs.3 
(absolut)</t>
  </si>
  <si>
    <r>
      <t xml:space="preserve">Strafverfahren 
(§ 19)
Anzahl
</t>
    </r>
    <r>
      <rPr>
        <b/>
        <sz val="8"/>
        <rFont val="Arial"/>
        <family val="2"/>
      </rPr>
      <t xml:space="preserve">im Berichtsjahr </t>
    </r>
  </si>
  <si>
    <r>
      <t xml:space="preserve">OWiG-Verfahren 
(§ 20)
 Anzahl
</t>
    </r>
    <r>
      <rPr>
        <b/>
        <sz val="8"/>
        <rFont val="Arial"/>
        <family val="2"/>
      </rPr>
      <t xml:space="preserve">im Berichtsjahr </t>
    </r>
  </si>
  <si>
    <t>Summe aller Hunde</t>
  </si>
  <si>
    <t>§ 3 Absatz 2 LHundG NRW</t>
  </si>
  <si>
    <t>§ 11 Absatz 1 LHundG NRW</t>
  </si>
  <si>
    <t>§ 10 Absatz 1 LHundG NRW</t>
  </si>
  <si>
    <t xml:space="preserve">                                                                                                                                                                                   </t>
  </si>
  <si>
    <t>Berichtsbogen Hunde für das Jahr 2014</t>
  </si>
  <si>
    <t>Münster 2014</t>
  </si>
  <si>
    <r>
      <t xml:space="preserve">Beißvorfälle 
mit Verletzungen 
beim Menschen
</t>
    </r>
    <r>
      <rPr>
        <b/>
        <sz val="8"/>
        <rFont val="Arial"/>
        <family val="2"/>
      </rPr>
      <t xml:space="preserve">im Berichtsjahr </t>
    </r>
  </si>
  <si>
    <r>
      <t xml:space="preserve">Beißvorfälle 
mit Verletzungen 
bei anderem Tier 
</t>
    </r>
    <r>
      <rPr>
        <b/>
        <sz val="8"/>
        <rFont val="Arial"/>
        <family val="2"/>
      </rPr>
      <t>im Berichtsjahr</t>
    </r>
    <r>
      <rPr>
        <b/>
        <sz val="12"/>
        <rFont val="Arial"/>
        <family val="2"/>
      </rPr>
      <t xml:space="preserve"> </t>
    </r>
  </si>
  <si>
    <r>
      <t xml:space="preserve">sonstige
gefährliche
 Vorfälle
 </t>
    </r>
    <r>
      <rPr>
        <b/>
        <sz val="8"/>
        <rFont val="Arial"/>
        <family val="2"/>
      </rPr>
      <t>im Berichtsjahr</t>
    </r>
    <r>
      <rPr>
        <b/>
        <sz val="12"/>
        <rFont val="Arial"/>
        <family val="2"/>
      </rPr>
      <t xml:space="preserve"> </t>
    </r>
  </si>
  <si>
    <r>
      <t xml:space="preserve">Strafverfahren (§ 19)
OWiG-Verfahren (§ 20)
 Anzahl
</t>
    </r>
    <r>
      <rPr>
        <b/>
        <sz val="8"/>
        <rFont val="Arial"/>
        <family val="2"/>
      </rPr>
      <t xml:space="preserve">im Berichtsjahr </t>
    </r>
  </si>
  <si>
    <t>§ 19</t>
  </si>
  <si>
    <t>§ 20</t>
  </si>
  <si>
    <t>§ 3 Abs. 2</t>
  </si>
  <si>
    <t>§ 10 Abs. 1</t>
  </si>
  <si>
    <t>§ 11 Abs. 1</t>
  </si>
  <si>
    <t xml:space="preserve">Miniatur-Bullterrier </t>
  </si>
  <si>
    <t>Gesamtsumme:</t>
  </si>
  <si>
    <t>Berichtsbogen Hunde für das Jahr 2014  - Bezirksregierung Düsseldorf…………………………………….</t>
  </si>
  <si>
    <t>Regierungsbezirk Düsseldorf</t>
  </si>
  <si>
    <t xml:space="preserve">Miniatur Bullterrier </t>
  </si>
  <si>
    <t>Bezirksregierung Detmold</t>
  </si>
  <si>
    <t xml:space="preserve"> </t>
  </si>
  <si>
    <t>Bezirksregierung
…Arnsberg…………………</t>
  </si>
  <si>
    <t>Kölle</t>
  </si>
  <si>
    <t>Rasse</t>
  </si>
  <si>
    <t xml:space="preserve">Durchschnitt
in 10 Jahren
</t>
  </si>
  <si>
    <t>v.H.</t>
  </si>
  <si>
    <t>Kreuzungen aus diesen Rassen</t>
  </si>
  <si>
    <t>Kreuzungen aus
 diesen Rassen</t>
  </si>
  <si>
    <t>Statistik der Beißvorfälle am Menschen  
der Hunde nach § 3 Absatz 2, § 10 Absatz 1
sowie der Hunde nach § 11 Absatz 1 LHundG NRW</t>
  </si>
  <si>
    <t>Beißvorfälle Mensch in v.H. bezogen auf die gemeldete Population der jeweiligen Jahre</t>
  </si>
  <si>
    <t xml:space="preserve">Durchschnitt
in 
10 Jahren
</t>
  </si>
  <si>
    <t>Sonstige gefährliche Vorfälle in v. H. 
bezogen auf die gemeldete Population der jeweiligen Jahre</t>
  </si>
  <si>
    <t xml:space="preserve"> Berichtergebnis alle Hunde für das Jahr 2013</t>
  </si>
  <si>
    <t>Statistik der Beißvorfälle mit Verletzungen bei anderem Tier</t>
  </si>
  <si>
    <t>Beißvorfälle mit Verletzungen bei anderem Tier i.v.h. bezogen auf die gemeldete Population der jeweiligen Jahre</t>
  </si>
  <si>
    <t>Statistik der sonstigen gefährlichen Vorfälle</t>
  </si>
  <si>
    <t xml:space="preserve">§ 3 Absatz 2 Hunde </t>
  </si>
  <si>
    <t>§ 10 Absatz 1 Hunde</t>
  </si>
  <si>
    <t>Schäferhund-MIx</t>
  </si>
  <si>
    <t>alle anderen große Hunde nach § 11 Absatz 1</t>
  </si>
  <si>
    <t>alle kleinen Hunde</t>
  </si>
  <si>
    <t>Anzahl der gefährlichen Hunde nach § 3 Abs. 2 LHundG</t>
  </si>
  <si>
    <t>Anzahl</t>
  </si>
  <si>
    <t>Jahr</t>
  </si>
  <si>
    <t>Bezirksregierung Arnsberg</t>
  </si>
  <si>
    <t>Bezirksregierung Düsseldorf</t>
  </si>
  <si>
    <t>Bezirksregierung Köln</t>
  </si>
  <si>
    <t>Bezirksregierung Münster</t>
  </si>
  <si>
    <t>Vorfälle mit Hunden nach § 3 Absatz 2 LHundG NRW</t>
  </si>
  <si>
    <t>Mensch</t>
  </si>
  <si>
    <t xml:space="preserve"> Tier </t>
  </si>
  <si>
    <t>sonstige Vorfälle</t>
  </si>
  <si>
    <t>Anzahl der gefährlichen Hunde nach § 10 Absatz 1</t>
  </si>
  <si>
    <t>Anzahl der  Hunde nach § 10 Abs.1 LHundG</t>
  </si>
  <si>
    <t>Vorfälle mit Hunden nach § 10 Absatz 1 LHundG NRW</t>
  </si>
  <si>
    <t>Anzahl der Hunde nach § 11 Absatz 1</t>
  </si>
  <si>
    <t>Anzahl der  Hunde nach § 11 Abs.1 LHundG</t>
  </si>
  <si>
    <t xml:space="preserve"> Arnsberg</t>
  </si>
  <si>
    <t xml:space="preserve"> Detmold</t>
  </si>
  <si>
    <t xml:space="preserve"> D'dorf</t>
  </si>
  <si>
    <t xml:space="preserve"> Köln</t>
  </si>
  <si>
    <t>Münster</t>
  </si>
  <si>
    <t xml:space="preserve"> Berichtergebnis alle Hunde für das Jahr 2014</t>
  </si>
  <si>
    <t>Durchschnitt</t>
  </si>
  <si>
    <t xml:space="preserve"> Berichtergebnis alle Hunde für das Jahr 2016</t>
  </si>
  <si>
    <r>
      <rPr>
        <sz val="11"/>
        <rFont val="Arial"/>
        <family val="2"/>
      </rPr>
      <t>sonstige</t>
    </r>
    <r>
      <rPr>
        <sz val="10"/>
        <rFont val="Arial"/>
        <family val="2"/>
      </rPr>
      <t xml:space="preserve">
gefährliche
 Vorfälle
 im Berichtsjahr </t>
    </r>
  </si>
  <si>
    <t xml:space="preserve"> Berichtergebnis alle Hunde für das Jahr 2015</t>
  </si>
  <si>
    <t xml:space="preserve"> Berichtergebnis alle Hunde für das Jahr 2017</t>
  </si>
  <si>
    <t xml:space="preserve"> Berichtergebnis alle Hunde für das Jahr 2018</t>
  </si>
  <si>
    <t xml:space="preserve"> Berichtergebnis alle Hunde für das Jahr 2019</t>
  </si>
  <si>
    <t xml:space="preserve">Tier </t>
  </si>
  <si>
    <t xml:space="preserve"> Berichtergebnis alle Hunde für das Jahr 2020</t>
  </si>
  <si>
    <r>
      <rPr>
        <b/>
        <sz val="11"/>
        <rFont val="Arial"/>
        <family val="2"/>
      </rPr>
      <t>sonstige</t>
    </r>
    <r>
      <rPr>
        <b/>
        <sz val="10"/>
        <rFont val="Arial"/>
        <family val="2"/>
      </rPr>
      <t xml:space="preserve">
gefährliche
 Vorfälle
 im Berichtsjahr </t>
    </r>
  </si>
  <si>
    <t xml:space="preserve"> Berichtergebnis alle Hunde für das Jahr 2021</t>
  </si>
  <si>
    <t>für die Jahre von 2013 bis 2022</t>
  </si>
  <si>
    <t>Beißvorfälle mit Verletzungen bei anderem Tier in v.H. bezogen auf die gemeldete Population der jeweiligen Jahre</t>
  </si>
  <si>
    <t xml:space="preserve"> Berichtergebnis alle Hunde für das 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</si>
</sst>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i/>
      <sz val="11"/>
      <color indexed="9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1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8" fillId="7" borderId="0" applyNumberFormat="0" applyBorder="0" applyAlignment="0" applyProtection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6" fillId="0" borderId="0"/>
    <xf numFmtId="0" fontId="10" fillId="0" borderId="0"/>
  </cellStyleXfs>
  <cellXfs count="790">
    <xf numFmtId="0" fontId="0" fillId="0" borderId="0" xfId="0"/>
    <xf numFmtId="0" fontId="12" fillId="0" borderId="0" xfId="0" applyFont="1" applyAlignment="1">
      <alignment horizontal="center"/>
    </xf>
    <xf numFmtId="0" fontId="0" fillId="0" borderId="0" xfId="0" applyBorder="1"/>
    <xf numFmtId="0" fontId="14" fillId="0" borderId="0" xfId="0" applyFont="1"/>
    <xf numFmtId="0" fontId="17" fillId="0" borderId="0" xfId="0" applyFont="1" applyFill="1" applyBorder="1"/>
    <xf numFmtId="0" fontId="15" fillId="0" borderId="1" xfId="0" applyFont="1" applyBorder="1"/>
    <xf numFmtId="0" fontId="14" fillId="0" borderId="0" xfId="0" applyFont="1" applyBorder="1"/>
    <xf numFmtId="0" fontId="15" fillId="0" borderId="2" xfId="0" applyFont="1" applyBorder="1"/>
    <xf numFmtId="0" fontId="15" fillId="0" borderId="3" xfId="0" applyFont="1" applyFill="1" applyBorder="1"/>
    <xf numFmtId="0" fontId="15" fillId="0" borderId="4" xfId="0" applyFont="1" applyFill="1" applyBorder="1"/>
    <xf numFmtId="0" fontId="17" fillId="0" borderId="5" xfId="0" applyFont="1" applyFill="1" applyBorder="1"/>
    <xf numFmtId="0" fontId="15" fillId="0" borderId="3" xfId="0" applyFont="1" applyBorder="1"/>
    <xf numFmtId="0" fontId="15" fillId="0" borderId="4" xfId="0" applyFont="1" applyBorder="1"/>
    <xf numFmtId="0" fontId="17" fillId="0" borderId="5" xfId="0" applyFont="1" applyBorder="1"/>
    <xf numFmtId="0" fontId="17" fillId="0" borderId="1" xfId="0" applyFont="1" applyBorder="1"/>
    <xf numFmtId="0" fontId="14" fillId="0" borderId="6" xfId="0" applyFont="1" applyBorder="1"/>
    <xf numFmtId="0" fontId="16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wrapText="1"/>
    </xf>
    <xf numFmtId="0" fontId="17" fillId="0" borderId="0" xfId="0" applyFont="1" applyBorder="1"/>
    <xf numFmtId="0" fontId="19" fillId="3" borderId="0" xfId="0" applyFont="1" applyFill="1" applyAlignment="1">
      <alignment wrapText="1"/>
    </xf>
    <xf numFmtId="0" fontId="0" fillId="3" borderId="0" xfId="0" applyFill="1"/>
    <xf numFmtId="3" fontId="15" fillId="0" borderId="2" xfId="0" applyNumberFormat="1" applyFont="1" applyBorder="1"/>
    <xf numFmtId="3" fontId="15" fillId="0" borderId="9" xfId="0" applyNumberFormat="1" applyFont="1" applyFill="1" applyBorder="1" applyAlignment="1">
      <alignment wrapText="1"/>
    </xf>
    <xf numFmtId="3" fontId="17" fillId="0" borderId="5" xfId="0" applyNumberFormat="1" applyFont="1" applyFill="1" applyBorder="1"/>
    <xf numFmtId="3" fontId="17" fillId="0" borderId="0" xfId="0" applyNumberFormat="1" applyFont="1" applyFill="1" applyBorder="1"/>
    <xf numFmtId="3" fontId="14" fillId="0" borderId="0" xfId="0" applyNumberFormat="1" applyFont="1"/>
    <xf numFmtId="3" fontId="15" fillId="0" borderId="3" xfId="0" applyNumberFormat="1" applyFont="1" applyBorder="1"/>
    <xf numFmtId="3" fontId="15" fillId="2" borderId="3" xfId="0" applyNumberFormat="1" applyFont="1" applyFill="1" applyBorder="1"/>
    <xf numFmtId="3" fontId="15" fillId="0" borderId="4" xfId="0" applyNumberFormat="1" applyFont="1" applyBorder="1"/>
    <xf numFmtId="3" fontId="17" fillId="0" borderId="5" xfId="0" applyNumberFormat="1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3" fontId="17" fillId="0" borderId="1" xfId="0" applyNumberFormat="1" applyFont="1" applyBorder="1"/>
    <xf numFmtId="3" fontId="14" fillId="0" borderId="6" xfId="0" applyNumberFormat="1" applyFont="1" applyBorder="1"/>
    <xf numFmtId="3" fontId="15" fillId="2" borderId="4" xfId="0" applyNumberFormat="1" applyFont="1" applyFill="1" applyBorder="1"/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165" fontId="20" fillId="4" borderId="18" xfId="0" applyNumberFormat="1" applyFont="1" applyFill="1" applyBorder="1" applyAlignment="1">
      <alignment horizontal="center"/>
    </xf>
    <xf numFmtId="3" fontId="20" fillId="0" borderId="20" xfId="0" applyNumberFormat="1" applyFont="1" applyBorder="1" applyAlignment="1">
      <alignment horizontal="center"/>
    </xf>
    <xf numFmtId="165" fontId="20" fillId="4" borderId="22" xfId="0" applyNumberFormat="1" applyFont="1" applyFill="1" applyBorder="1" applyAlignment="1">
      <alignment horizontal="center"/>
    </xf>
    <xf numFmtId="3" fontId="20" fillId="0" borderId="24" xfId="0" applyNumberFormat="1" applyFont="1" applyBorder="1" applyAlignment="1">
      <alignment horizontal="center"/>
    </xf>
    <xf numFmtId="165" fontId="20" fillId="4" borderId="25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3" fontId="15" fillId="0" borderId="27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0" borderId="20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center"/>
    </xf>
    <xf numFmtId="165" fontId="20" fillId="4" borderId="31" xfId="0" applyNumberFormat="1" applyFont="1" applyFill="1" applyBorder="1" applyAlignment="1">
      <alignment horizontal="center"/>
    </xf>
    <xf numFmtId="3" fontId="17" fillId="0" borderId="14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165" fontId="17" fillId="3" borderId="6" xfId="0" applyNumberFormat="1" applyFont="1" applyFill="1" applyBorder="1" applyAlignment="1">
      <alignment horizontal="center"/>
    </xf>
    <xf numFmtId="3" fontId="20" fillId="0" borderId="32" xfId="0" applyNumberFormat="1" applyFont="1" applyBorder="1" applyAlignment="1">
      <alignment horizontal="center"/>
    </xf>
    <xf numFmtId="165" fontId="15" fillId="4" borderId="18" xfId="0" applyNumberFormat="1" applyFont="1" applyFill="1" applyBorder="1" applyAlignment="1">
      <alignment horizontal="center"/>
    </xf>
    <xf numFmtId="165" fontId="15" fillId="4" borderId="22" xfId="0" applyNumberFormat="1" applyFont="1" applyFill="1" applyBorder="1" applyAlignment="1">
      <alignment horizontal="center"/>
    </xf>
    <xf numFmtId="3" fontId="14" fillId="3" borderId="6" xfId="0" applyNumberFormat="1" applyFont="1" applyFill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15" fillId="3" borderId="27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5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 wrapText="1"/>
    </xf>
    <xf numFmtId="165" fontId="20" fillId="3" borderId="0" xfId="0" applyNumberFormat="1" applyFont="1" applyFill="1" applyBorder="1" applyAlignment="1">
      <alignment horizontal="center"/>
    </xf>
    <xf numFmtId="165" fontId="15" fillId="4" borderId="32" xfId="0" applyNumberFormat="1" applyFont="1" applyFill="1" applyBorder="1" applyAlignment="1">
      <alignment horizontal="center"/>
    </xf>
    <xf numFmtId="165" fontId="15" fillId="4" borderId="20" xfId="0" applyNumberFormat="1" applyFont="1" applyFill="1" applyBorder="1" applyAlignment="1">
      <alignment horizontal="center"/>
    </xf>
    <xf numFmtId="165" fontId="15" fillId="4" borderId="28" xfId="0" applyNumberFormat="1" applyFont="1" applyFill="1" applyBorder="1" applyAlignment="1">
      <alignment horizontal="center"/>
    </xf>
    <xf numFmtId="165" fontId="15" fillId="4" borderId="7" xfId="0" applyNumberFormat="1" applyFont="1" applyFill="1" applyBorder="1" applyAlignment="1">
      <alignment horizontal="center"/>
    </xf>
    <xf numFmtId="165" fontId="17" fillId="3" borderId="0" xfId="0" applyNumberFormat="1" applyFont="1" applyFill="1" applyBorder="1" applyAlignment="1">
      <alignment horizontal="center"/>
    </xf>
    <xf numFmtId="165" fontId="15" fillId="4" borderId="31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34" xfId="0" applyBorder="1"/>
    <xf numFmtId="0" fontId="13" fillId="0" borderId="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3" fillId="2" borderId="37" xfId="0" applyFont="1" applyFill="1" applyBorder="1" applyAlignment="1">
      <alignment horizontal="center" vertical="center" wrapText="1"/>
    </xf>
    <xf numFmtId="165" fontId="20" fillId="4" borderId="20" xfId="0" applyNumberFormat="1" applyFont="1" applyFill="1" applyBorder="1" applyAlignment="1">
      <alignment horizontal="center"/>
    </xf>
    <xf numFmtId="165" fontId="20" fillId="4" borderId="28" xfId="0" applyNumberFormat="1" applyFont="1" applyFill="1" applyBorder="1" applyAlignment="1">
      <alignment horizontal="center"/>
    </xf>
    <xf numFmtId="165" fontId="20" fillId="4" borderId="7" xfId="0" applyNumberFormat="1" applyFont="1" applyFill="1" applyBorder="1" applyAlignment="1">
      <alignment horizontal="center"/>
    </xf>
    <xf numFmtId="165" fontId="20" fillId="4" borderId="32" xfId="0" applyNumberFormat="1" applyFont="1" applyFill="1" applyBorder="1" applyAlignment="1">
      <alignment horizontal="center"/>
    </xf>
    <xf numFmtId="0" fontId="0" fillId="0" borderId="7" xfId="0" applyBorder="1"/>
    <xf numFmtId="0" fontId="13" fillId="3" borderId="7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top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28" xfId="0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4" fillId="4" borderId="7" xfId="0" applyNumberFormat="1" applyFont="1" applyFill="1" applyBorder="1" applyAlignment="1">
      <alignment horizontal="center"/>
    </xf>
    <xf numFmtId="165" fontId="14" fillId="4" borderId="37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3" fontId="14" fillId="3" borderId="5" xfId="0" applyNumberFormat="1" applyFont="1" applyFill="1" applyBorder="1" applyAlignment="1">
      <alignment horizontal="center"/>
    </xf>
    <xf numFmtId="3" fontId="21" fillId="5" borderId="27" xfId="0" applyNumberFormat="1" applyFont="1" applyFill="1" applyBorder="1" applyAlignment="1">
      <alignment horizontal="right"/>
    </xf>
    <xf numFmtId="3" fontId="22" fillId="5" borderId="5" xfId="0" applyNumberFormat="1" applyFont="1" applyFill="1" applyBorder="1" applyAlignment="1">
      <alignment horizontal="right"/>
    </xf>
    <xf numFmtId="3" fontId="22" fillId="3" borderId="0" xfId="0" applyNumberFormat="1" applyFont="1" applyFill="1" applyBorder="1" applyAlignment="1">
      <alignment horizontal="right"/>
    </xf>
    <xf numFmtId="3" fontId="22" fillId="3" borderId="0" xfId="0" applyNumberFormat="1" applyFont="1" applyFill="1" applyAlignment="1">
      <alignment horizontal="right"/>
    </xf>
    <xf numFmtId="3" fontId="21" fillId="3" borderId="0" xfId="0" applyNumberFormat="1" applyFont="1" applyFill="1" applyBorder="1" applyAlignment="1">
      <alignment horizontal="right"/>
    </xf>
    <xf numFmtId="3" fontId="22" fillId="3" borderId="6" xfId="0" applyNumberFormat="1" applyFont="1" applyFill="1" applyBorder="1" applyAlignment="1">
      <alignment horizontal="right"/>
    </xf>
    <xf numFmtId="3" fontId="21" fillId="5" borderId="2" xfId="0" applyNumberFormat="1" applyFont="1" applyFill="1" applyBorder="1" applyAlignment="1">
      <alignment horizontal="right"/>
    </xf>
    <xf numFmtId="165" fontId="14" fillId="3" borderId="1" xfId="0" applyNumberFormat="1" applyFont="1" applyFill="1" applyBorder="1" applyAlignment="1">
      <alignment horizontal="center"/>
    </xf>
    <xf numFmtId="165" fontId="14" fillId="3" borderId="6" xfId="0" applyNumberFormat="1" applyFont="1" applyFill="1" applyBorder="1" applyAlignment="1">
      <alignment horizontal="center"/>
    </xf>
    <xf numFmtId="165" fontId="15" fillId="3" borderId="1" xfId="0" applyNumberFormat="1" applyFont="1" applyFill="1" applyBorder="1" applyAlignment="1">
      <alignment horizontal="center"/>
    </xf>
    <xf numFmtId="165" fontId="15" fillId="3" borderId="6" xfId="0" applyNumberFormat="1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165" fontId="15" fillId="4" borderId="16" xfId="0" applyNumberFormat="1" applyFont="1" applyFill="1" applyBorder="1" applyAlignment="1">
      <alignment horizontal="center"/>
    </xf>
    <xf numFmtId="0" fontId="23" fillId="0" borderId="5" xfId="0" applyFont="1" applyBorder="1" applyAlignment="1">
      <alignment vertical="center"/>
    </xf>
    <xf numFmtId="0" fontId="19" fillId="2" borderId="42" xfId="0" applyFont="1" applyFill="1" applyBorder="1" applyAlignment="1">
      <alignment wrapText="1"/>
    </xf>
    <xf numFmtId="0" fontId="17" fillId="0" borderId="42" xfId="0" applyFont="1" applyBorder="1" applyAlignment="1"/>
    <xf numFmtId="0" fontId="19" fillId="2" borderId="42" xfId="0" applyFont="1" applyFill="1" applyBorder="1" applyAlignment="1">
      <alignment vertical="center" wrapText="1"/>
    </xf>
    <xf numFmtId="0" fontId="17" fillId="0" borderId="42" xfId="0" applyFont="1" applyBorder="1"/>
    <xf numFmtId="3" fontId="17" fillId="2" borderId="7" xfId="0" applyNumberFormat="1" applyFont="1" applyFill="1" applyBorder="1"/>
    <xf numFmtId="3" fontId="17" fillId="2" borderId="7" xfId="0" applyNumberFormat="1" applyFont="1" applyFill="1" applyBorder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165" fontId="15" fillId="4" borderId="24" xfId="0" applyNumberFormat="1" applyFont="1" applyFill="1" applyBorder="1" applyAlignment="1">
      <alignment horizontal="center"/>
    </xf>
    <xf numFmtId="165" fontId="15" fillId="4" borderId="43" xfId="0" applyNumberFormat="1" applyFont="1" applyFill="1" applyBorder="1" applyAlignment="1">
      <alignment horizontal="center"/>
    </xf>
    <xf numFmtId="165" fontId="14" fillId="4" borderId="44" xfId="0" applyNumberFormat="1" applyFont="1" applyFill="1" applyBorder="1" applyAlignment="1">
      <alignment horizontal="center"/>
    </xf>
    <xf numFmtId="165" fontId="14" fillId="4" borderId="31" xfId="0" applyNumberFormat="1" applyFont="1" applyFill="1" applyBorder="1" applyAlignment="1">
      <alignment horizontal="center"/>
    </xf>
    <xf numFmtId="165" fontId="14" fillId="4" borderId="45" xfId="0" applyNumberFormat="1" applyFont="1" applyFill="1" applyBorder="1" applyAlignment="1">
      <alignment horizontal="center"/>
    </xf>
    <xf numFmtId="3" fontId="17" fillId="2" borderId="46" xfId="0" applyNumberFormat="1" applyFont="1" applyFill="1" applyBorder="1" applyAlignment="1">
      <alignment horizontal="center"/>
    </xf>
    <xf numFmtId="3" fontId="17" fillId="2" borderId="45" xfId="0" applyNumberFormat="1" applyFont="1" applyFill="1" applyBorder="1" applyAlignment="1">
      <alignment horizontal="center"/>
    </xf>
    <xf numFmtId="165" fontId="14" fillId="4" borderId="8" xfId="0" applyNumberFormat="1" applyFont="1" applyFill="1" applyBorder="1" applyAlignment="1">
      <alignment horizontal="center"/>
    </xf>
    <xf numFmtId="3" fontId="15" fillId="0" borderId="23" xfId="0" applyNumberFormat="1" applyFont="1" applyFill="1" applyBorder="1" applyAlignment="1">
      <alignment horizontal="center" wrapText="1"/>
    </xf>
    <xf numFmtId="165" fontId="15" fillId="3" borderId="0" xfId="0" applyNumberFormat="1" applyFont="1" applyFill="1" applyBorder="1" applyAlignment="1">
      <alignment horizontal="center"/>
    </xf>
    <xf numFmtId="0" fontId="0" fillId="0" borderId="42" xfId="0" applyBorder="1"/>
    <xf numFmtId="164" fontId="0" fillId="0" borderId="0" xfId="3" applyFont="1"/>
    <xf numFmtId="0" fontId="13" fillId="2" borderId="16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center" vertical="top" wrapText="1"/>
    </xf>
    <xf numFmtId="0" fontId="11" fillId="2" borderId="54" xfId="0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/>
    </xf>
    <xf numFmtId="0" fontId="0" fillId="0" borderId="32" xfId="0" applyBorder="1"/>
    <xf numFmtId="0" fontId="0" fillId="0" borderId="2" xfId="0" applyBorder="1"/>
    <xf numFmtId="0" fontId="0" fillId="0" borderId="16" xfId="0" applyBorder="1"/>
    <xf numFmtId="0" fontId="0" fillId="0" borderId="1" xfId="0" applyBorder="1"/>
    <xf numFmtId="0" fontId="0" fillId="0" borderId="52" xfId="0" applyBorder="1" applyAlignment="1">
      <alignment wrapText="1"/>
    </xf>
    <xf numFmtId="0" fontId="0" fillId="0" borderId="20" xfId="0" applyBorder="1"/>
    <xf numFmtId="0" fontId="0" fillId="0" borderId="3" xfId="0" applyBorder="1"/>
    <xf numFmtId="0" fontId="0" fillId="0" borderId="50" xfId="0" applyBorder="1"/>
    <xf numFmtId="0" fontId="0" fillId="0" borderId="56" xfId="0" applyBorder="1" applyAlignment="1">
      <alignment wrapText="1"/>
    </xf>
    <xf numFmtId="0" fontId="0" fillId="0" borderId="56" xfId="0" applyBorder="1"/>
    <xf numFmtId="0" fontId="0" fillId="0" borderId="28" xfId="0" applyBorder="1"/>
    <xf numFmtId="0" fontId="0" fillId="0" borderId="4" xfId="0" applyBorder="1"/>
    <xf numFmtId="0" fontId="0" fillId="0" borderId="57" xfId="0" applyBorder="1"/>
    <xf numFmtId="0" fontId="0" fillId="0" borderId="58" xfId="0" applyBorder="1" applyAlignment="1">
      <alignment wrapText="1"/>
    </xf>
    <xf numFmtId="0" fontId="24" fillId="0" borderId="9" xfId="0" applyFont="1" applyFill="1" applyBorder="1" applyAlignment="1">
      <alignment wrapText="1"/>
    </xf>
    <xf numFmtId="0" fontId="0" fillId="0" borderId="59" xfId="0" applyBorder="1"/>
    <xf numFmtId="0" fontId="0" fillId="0" borderId="9" xfId="0" applyBorder="1"/>
    <xf numFmtId="0" fontId="0" fillId="0" borderId="54" xfId="0" applyBorder="1"/>
    <xf numFmtId="0" fontId="0" fillId="0" borderId="60" xfId="0" applyBorder="1" applyAlignment="1">
      <alignment wrapText="1"/>
    </xf>
    <xf numFmtId="0" fontId="0" fillId="0" borderId="5" xfId="0" applyBorder="1"/>
    <xf numFmtId="0" fontId="0" fillId="0" borderId="61" xfId="0" applyBorder="1"/>
    <xf numFmtId="0" fontId="0" fillId="0" borderId="6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/>
    <xf numFmtId="0" fontId="0" fillId="0" borderId="51" xfId="0" applyBorder="1"/>
    <xf numFmtId="0" fontId="0" fillId="0" borderId="52" xfId="0" applyBorder="1"/>
    <xf numFmtId="0" fontId="0" fillId="0" borderId="58" xfId="0" applyBorder="1"/>
    <xf numFmtId="0" fontId="0" fillId="0" borderId="60" xfId="0" applyBorder="1"/>
    <xf numFmtId="3" fontId="0" fillId="0" borderId="7" xfId="0" applyNumberFormat="1" applyBorder="1"/>
    <xf numFmtId="0" fontId="0" fillId="0" borderId="63" xfId="0" applyBorder="1"/>
    <xf numFmtId="0" fontId="0" fillId="0" borderId="62" xfId="0" applyBorder="1"/>
    <xf numFmtId="3" fontId="0" fillId="0" borderId="32" xfId="0" applyNumberFormat="1" applyBorder="1"/>
    <xf numFmtId="3" fontId="0" fillId="0" borderId="20" xfId="0" applyNumberFormat="1" applyBorder="1"/>
    <xf numFmtId="0" fontId="0" fillId="0" borderId="0" xfId="0" applyFill="1" applyBorder="1"/>
    <xf numFmtId="3" fontId="0" fillId="0" borderId="28" xfId="0" applyNumberFormat="1" applyBorder="1"/>
    <xf numFmtId="0" fontId="17" fillId="0" borderId="63" xfId="0" applyFont="1" applyBorder="1"/>
    <xf numFmtId="3" fontId="0" fillId="0" borderId="64" xfId="0" applyNumberFormat="1" applyBorder="1"/>
    <xf numFmtId="0" fontId="0" fillId="0" borderId="64" xfId="0" applyBorder="1"/>
    <xf numFmtId="0" fontId="11" fillId="0" borderId="0" xfId="0" applyFont="1" applyAlignment="1">
      <alignment horizontal="center" vertical="top" wrapText="1"/>
    </xf>
    <xf numFmtId="3" fontId="15" fillId="8" borderId="41" xfId="0" applyNumberFormat="1" applyFont="1" applyFill="1" applyBorder="1"/>
    <xf numFmtId="3" fontId="15" fillId="8" borderId="21" xfId="0" applyNumberFormat="1" applyFont="1" applyFill="1" applyBorder="1"/>
    <xf numFmtId="3" fontId="15" fillId="8" borderId="40" xfId="0" applyNumberFormat="1" applyFont="1" applyFill="1" applyBorder="1"/>
    <xf numFmtId="3" fontId="14" fillId="8" borderId="8" xfId="0" applyNumberFormat="1" applyFont="1" applyFill="1" applyBorder="1"/>
    <xf numFmtId="0" fontId="13" fillId="0" borderId="5" xfId="0" applyFont="1" applyBorder="1"/>
    <xf numFmtId="0" fontId="13" fillId="0" borderId="7" xfId="0" applyFont="1" applyBorder="1"/>
    <xf numFmtId="0" fontId="13" fillId="0" borderId="61" xfId="0" applyFont="1" applyBorder="1"/>
    <xf numFmtId="0" fontId="13" fillId="0" borderId="62" xfId="0" applyFont="1" applyBorder="1" applyAlignment="1">
      <alignment wrapText="1"/>
    </xf>
    <xf numFmtId="0" fontId="13" fillId="0" borderId="63" xfId="0" applyFont="1" applyBorder="1"/>
    <xf numFmtId="0" fontId="13" fillId="0" borderId="62" xfId="0" applyFont="1" applyBorder="1"/>
    <xf numFmtId="0" fontId="0" fillId="0" borderId="0" xfId="0" applyFill="1" applyBorder="1" applyAlignment="1">
      <alignment wrapText="1"/>
    </xf>
    <xf numFmtId="3" fontId="13" fillId="0" borderId="7" xfId="0" applyNumberFormat="1" applyFont="1" applyBorder="1"/>
    <xf numFmtId="0" fontId="13" fillId="0" borderId="62" xfId="0" quotePrefix="1" applyFont="1" applyBorder="1"/>
    <xf numFmtId="0" fontId="16" fillId="0" borderId="0" xfId="0" applyFont="1" applyAlignment="1">
      <alignment horizontal="center" vertical="top" wrapText="1"/>
    </xf>
    <xf numFmtId="165" fontId="15" fillId="4" borderId="27" xfId="0" applyNumberFormat="1" applyFont="1" applyFill="1" applyBorder="1" applyAlignment="1">
      <alignment horizontal="center"/>
    </xf>
    <xf numFmtId="165" fontId="15" fillId="4" borderId="3" xfId="0" applyNumberFormat="1" applyFont="1" applyFill="1" applyBorder="1" applyAlignment="1">
      <alignment horizontal="center"/>
    </xf>
    <xf numFmtId="165" fontId="15" fillId="4" borderId="33" xfId="0" applyNumberFormat="1" applyFont="1" applyFill="1" applyBorder="1" applyAlignment="1">
      <alignment horizontal="center"/>
    </xf>
    <xf numFmtId="165" fontId="15" fillId="4" borderId="5" xfId="0" applyNumberFormat="1" applyFont="1" applyFill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5" fontId="20" fillId="4" borderId="3" xfId="0" applyNumberFormat="1" applyFont="1" applyFill="1" applyBorder="1" applyAlignment="1">
      <alignment horizontal="center"/>
    </xf>
    <xf numFmtId="0" fontId="20" fillId="0" borderId="65" xfId="0" applyFont="1" applyBorder="1" applyAlignment="1">
      <alignment horizontal="center"/>
    </xf>
    <xf numFmtId="4" fontId="0" fillId="0" borderId="0" xfId="0" applyNumberFormat="1"/>
    <xf numFmtId="0" fontId="13" fillId="0" borderId="0" xfId="0" applyFont="1" applyAlignment="1"/>
    <xf numFmtId="0" fontId="0" fillId="0" borderId="0" xfId="0" applyFill="1"/>
    <xf numFmtId="0" fontId="13" fillId="0" borderId="0" xfId="0" applyFont="1" applyBorder="1"/>
    <xf numFmtId="0" fontId="29" fillId="0" borderId="0" xfId="0" applyFont="1"/>
    <xf numFmtId="0" fontId="30" fillId="0" borderId="0" xfId="0" applyFont="1"/>
    <xf numFmtId="0" fontId="27" fillId="0" borderId="7" xfId="1" applyFont="1" applyFill="1" applyBorder="1" applyAlignment="1">
      <alignment horizontal="center" vertical="center" wrapText="1"/>
    </xf>
    <xf numFmtId="0" fontId="27" fillId="0" borderId="7" xfId="1" applyFont="1" applyFill="1" applyBorder="1"/>
    <xf numFmtId="0" fontId="27" fillId="0" borderId="32" xfId="1" applyFont="1" applyFill="1" applyBorder="1" applyAlignment="1">
      <alignment horizontal="center"/>
    </xf>
    <xf numFmtId="0" fontId="27" fillId="0" borderId="20" xfId="1" applyFont="1" applyFill="1" applyBorder="1" applyAlignment="1">
      <alignment vertical="top"/>
    </xf>
    <xf numFmtId="4" fontId="27" fillId="0" borderId="35" xfId="1" applyNumberFormat="1" applyFont="1" applyFill="1" applyBorder="1" applyAlignment="1">
      <alignment horizontal="right"/>
    </xf>
    <xf numFmtId="4" fontId="27" fillId="0" borderId="65" xfId="1" applyNumberFormat="1" applyFont="1" applyFill="1" applyBorder="1" applyAlignment="1">
      <alignment horizontal="right"/>
    </xf>
    <xf numFmtId="0" fontId="27" fillId="0" borderId="28" xfId="1" applyFont="1" applyFill="1" applyBorder="1" applyAlignment="1">
      <alignment vertical="top" wrapText="1"/>
    </xf>
    <xf numFmtId="4" fontId="27" fillId="0" borderId="55" xfId="1" applyNumberFormat="1" applyFont="1" applyFill="1" applyBorder="1" applyAlignment="1">
      <alignment horizontal="right"/>
    </xf>
    <xf numFmtId="4" fontId="27" fillId="0" borderId="0" xfId="1" applyNumberFormat="1" applyFont="1" applyFill="1" applyBorder="1" applyAlignment="1">
      <alignment horizontal="right"/>
    </xf>
    <xf numFmtId="4" fontId="27" fillId="0" borderId="0" xfId="1" applyNumberFormat="1" applyFont="1" applyFill="1" applyBorder="1" applyAlignment="1"/>
    <xf numFmtId="0" fontId="27" fillId="0" borderId="28" xfId="1" applyFont="1" applyFill="1" applyBorder="1" applyAlignment="1">
      <alignment vertical="top"/>
    </xf>
    <xf numFmtId="4" fontId="27" fillId="0" borderId="68" xfId="1" applyNumberFormat="1" applyFont="1" applyFill="1" applyBorder="1" applyAlignment="1">
      <alignment horizontal="right"/>
    </xf>
    <xf numFmtId="0" fontId="27" fillId="0" borderId="7" xfId="1" applyFont="1" applyFill="1" applyBorder="1" applyAlignment="1">
      <alignment vertical="top"/>
    </xf>
    <xf numFmtId="0" fontId="27" fillId="0" borderId="20" xfId="1" applyFont="1" applyFill="1" applyBorder="1"/>
    <xf numFmtId="2" fontId="27" fillId="0" borderId="65" xfId="1" applyNumberFormat="1" applyFont="1" applyFill="1" applyBorder="1" applyAlignment="1">
      <alignment horizontal="right"/>
    </xf>
    <xf numFmtId="0" fontId="27" fillId="0" borderId="28" xfId="1" applyFont="1" applyFill="1" applyBorder="1"/>
    <xf numFmtId="2" fontId="27" fillId="0" borderId="68" xfId="1" applyNumberFormat="1" applyFont="1" applyFill="1" applyBorder="1" applyAlignment="1">
      <alignment horizontal="right"/>
    </xf>
    <xf numFmtId="2" fontId="27" fillId="0" borderId="64" xfId="1" applyNumberFormat="1" applyFont="1" applyFill="1" applyBorder="1" applyAlignment="1">
      <alignment horizontal="right"/>
    </xf>
    <xf numFmtId="0" fontId="32" fillId="0" borderId="7" xfId="1" applyFont="1" applyFill="1" applyBorder="1"/>
    <xf numFmtId="0" fontId="32" fillId="0" borderId="32" xfId="1" applyFont="1" applyFill="1" applyBorder="1" applyAlignment="1">
      <alignment horizontal="center"/>
    </xf>
    <xf numFmtId="0" fontId="32" fillId="0" borderId="20" xfId="1" applyFont="1" applyFill="1" applyBorder="1" applyAlignment="1">
      <alignment vertical="top"/>
    </xf>
    <xf numFmtId="4" fontId="32" fillId="0" borderId="65" xfId="1" applyNumberFormat="1" applyFont="1" applyFill="1" applyBorder="1" applyAlignment="1"/>
    <xf numFmtId="4" fontId="32" fillId="0" borderId="65" xfId="1" applyNumberFormat="1" applyFont="1" applyFill="1" applyBorder="1" applyAlignment="1">
      <alignment horizontal="right"/>
    </xf>
    <xf numFmtId="4" fontId="32" fillId="0" borderId="55" xfId="1" applyNumberFormat="1" applyFont="1" applyFill="1" applyBorder="1" applyAlignment="1">
      <alignment horizontal="right"/>
    </xf>
    <xf numFmtId="0" fontId="32" fillId="0" borderId="7" xfId="1" applyFont="1" applyFill="1" applyBorder="1" applyAlignment="1">
      <alignment wrapText="1"/>
    </xf>
    <xf numFmtId="4" fontId="32" fillId="0" borderId="0" xfId="1" applyNumberFormat="1" applyFont="1" applyFill="1" applyBorder="1" applyAlignment="1"/>
    <xf numFmtId="4" fontId="32" fillId="0" borderId="0" xfId="1" applyNumberFormat="1" applyFont="1" applyFill="1" applyBorder="1" applyAlignment="1">
      <alignment horizontal="right"/>
    </xf>
    <xf numFmtId="0" fontId="32" fillId="0" borderId="7" xfId="1" applyFont="1" applyFill="1" applyBorder="1" applyAlignment="1">
      <alignment vertical="top"/>
    </xf>
    <xf numFmtId="2" fontId="32" fillId="0" borderId="65" xfId="1" applyNumberFormat="1" applyFont="1" applyFill="1" applyBorder="1" applyAlignment="1">
      <alignment horizontal="right"/>
    </xf>
    <xf numFmtId="0" fontId="32" fillId="0" borderId="61" xfId="1" applyFont="1" applyFill="1" applyBorder="1" applyAlignment="1">
      <alignment horizontal="center" vertical="center" wrapText="1"/>
    </xf>
    <xf numFmtId="4" fontId="32" fillId="0" borderId="20" xfId="1" applyNumberFormat="1" applyFont="1" applyFill="1" applyBorder="1" applyAlignment="1">
      <alignment horizontal="left"/>
    </xf>
    <xf numFmtId="2" fontId="32" fillId="0" borderId="0" xfId="1" applyNumberFormat="1" applyFont="1" applyFill="1" applyBorder="1" applyAlignment="1"/>
    <xf numFmtId="4" fontId="32" fillId="0" borderId="64" xfId="1" applyNumberFormat="1" applyFont="1" applyFill="1" applyBorder="1" applyAlignment="1">
      <alignment horizontal="right"/>
    </xf>
    <xf numFmtId="0" fontId="27" fillId="0" borderId="1" xfId="1" applyFont="1" applyFill="1" applyBorder="1" applyAlignment="1">
      <alignment wrapText="1"/>
    </xf>
    <xf numFmtId="0" fontId="27" fillId="0" borderId="1" xfId="1" applyFont="1" applyFill="1" applyBorder="1" applyAlignment="1">
      <alignment vertical="top"/>
    </xf>
    <xf numFmtId="0" fontId="10" fillId="0" borderId="0" xfId="5"/>
    <xf numFmtId="0" fontId="13" fillId="0" borderId="0" xfId="5" applyFont="1" applyAlignment="1">
      <alignment horizontal="center"/>
    </xf>
    <xf numFmtId="0" fontId="19" fillId="0" borderId="20" xfId="5" applyFont="1" applyBorder="1" applyAlignment="1">
      <alignment vertical="top"/>
    </xf>
    <xf numFmtId="0" fontId="10" fillId="0" borderId="65" xfId="5" applyBorder="1"/>
    <xf numFmtId="0" fontId="19" fillId="0" borderId="28" xfId="5" applyFont="1" applyBorder="1" applyAlignment="1">
      <alignment vertical="top"/>
    </xf>
    <xf numFmtId="0" fontId="19" fillId="0" borderId="28" xfId="5" applyFont="1" applyBorder="1" applyAlignment="1">
      <alignment vertical="top" wrapText="1"/>
    </xf>
    <xf numFmtId="3" fontId="10" fillId="0" borderId="65" xfId="5" applyNumberFormat="1" applyBorder="1"/>
    <xf numFmtId="3" fontId="10" fillId="0" borderId="34" xfId="5" applyNumberFormat="1" applyFill="1" applyBorder="1" applyAlignment="1">
      <alignment horizontal="center" vertical="top"/>
    </xf>
    <xf numFmtId="3" fontId="10" fillId="0" borderId="0" xfId="5" applyNumberFormat="1" applyFill="1" applyBorder="1" applyAlignment="1">
      <alignment horizontal="center" vertical="top"/>
    </xf>
    <xf numFmtId="0" fontId="10" fillId="0" borderId="0" xfId="5" applyBorder="1"/>
    <xf numFmtId="3" fontId="10" fillId="0" borderId="0" xfId="5" applyNumberFormat="1" applyBorder="1" applyAlignment="1">
      <alignment horizontal="center" vertical="top"/>
    </xf>
    <xf numFmtId="0" fontId="10" fillId="0" borderId="0" xfId="5" applyBorder="1" applyAlignment="1">
      <alignment horizontal="center" vertical="center"/>
    </xf>
    <xf numFmtId="0" fontId="10" fillId="0" borderId="0" xfId="5" applyFill="1" applyBorder="1" applyAlignment="1">
      <alignment horizontal="center" vertical="center"/>
    </xf>
    <xf numFmtId="0" fontId="13" fillId="0" borderId="71" xfId="5" applyFont="1" applyBorder="1" applyAlignment="1">
      <alignment horizontal="center" vertical="center"/>
    </xf>
    <xf numFmtId="0" fontId="13" fillId="0" borderId="65" xfId="5" applyFont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35" fillId="0" borderId="0" xfId="0" applyNumberFormat="1" applyFont="1"/>
    <xf numFmtId="0" fontId="32" fillId="0" borderId="0" xfId="1" applyFont="1" applyFill="1" applyBorder="1" applyAlignment="1">
      <alignment vertical="top"/>
    </xf>
    <xf numFmtId="0" fontId="35" fillId="0" borderId="0" xfId="0" applyFont="1"/>
    <xf numFmtId="0" fontId="32" fillId="0" borderId="0" xfId="1" applyFont="1" applyFill="1" applyBorder="1" applyAlignment="1">
      <alignment wrapText="1"/>
    </xf>
    <xf numFmtId="0" fontId="27" fillId="0" borderId="64" xfId="1" applyFont="1" applyFill="1" applyBorder="1" applyAlignment="1">
      <alignment horizontal="center" vertical="center" wrapText="1"/>
    </xf>
    <xf numFmtId="4" fontId="27" fillId="0" borderId="64" xfId="1" applyNumberFormat="1" applyFont="1" applyFill="1" applyBorder="1" applyAlignment="1">
      <alignment horizontal="right"/>
    </xf>
    <xf numFmtId="0" fontId="27" fillId="0" borderId="24" xfId="1" applyFont="1" applyFill="1" applyBorder="1" applyAlignment="1">
      <alignment horizontal="center" vertical="top"/>
    </xf>
    <xf numFmtId="0" fontId="27" fillId="0" borderId="24" xfId="1" applyFont="1" applyFill="1" applyBorder="1" applyAlignment="1">
      <alignment horizontal="center"/>
    </xf>
    <xf numFmtId="0" fontId="32" fillId="0" borderId="64" xfId="1" applyFont="1" applyFill="1" applyBorder="1" applyAlignment="1">
      <alignment horizontal="center" vertical="center" wrapText="1"/>
    </xf>
    <xf numFmtId="0" fontId="32" fillId="0" borderId="62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59" xfId="1" applyFont="1" applyFill="1" applyBorder="1" applyAlignment="1">
      <alignment vertical="top" wrapText="1"/>
    </xf>
    <xf numFmtId="0" fontId="32" fillId="0" borderId="32" xfId="1" applyFont="1" applyFill="1" applyBorder="1" applyAlignment="1">
      <alignment horizontal="center" vertical="top"/>
    </xf>
    <xf numFmtId="2" fontId="32" fillId="0" borderId="55" xfId="1" applyNumberFormat="1" applyFont="1" applyFill="1" applyBorder="1" applyAlignment="1">
      <alignment horizontal="right"/>
    </xf>
    <xf numFmtId="2" fontId="32" fillId="0" borderId="64" xfId="1" applyNumberFormat="1" applyFont="1" applyFill="1" applyBorder="1" applyAlignment="1">
      <alignment horizontal="right"/>
    </xf>
    <xf numFmtId="0" fontId="32" fillId="0" borderId="20" xfId="1" applyFont="1" applyFill="1" applyBorder="1"/>
    <xf numFmtId="0" fontId="32" fillId="0" borderId="59" xfId="1" applyFont="1" applyFill="1" applyBorder="1"/>
    <xf numFmtId="4" fontId="27" fillId="0" borderId="42" xfId="1" applyNumberFormat="1" applyFont="1" applyFill="1" applyBorder="1" applyAlignment="1">
      <alignment horizontal="right"/>
    </xf>
    <xf numFmtId="0" fontId="35" fillId="0" borderId="0" xfId="0" applyFont="1" applyFill="1"/>
    <xf numFmtId="4" fontId="32" fillId="10" borderId="65" xfId="1" applyNumberFormat="1" applyFont="1" applyFill="1" applyBorder="1" applyAlignment="1">
      <alignment horizontal="right"/>
    </xf>
    <xf numFmtId="0" fontId="27" fillId="10" borderId="20" xfId="1" applyFont="1" applyFill="1" applyBorder="1" applyAlignment="1">
      <alignment vertical="top"/>
    </xf>
    <xf numFmtId="4" fontId="27" fillId="10" borderId="35" xfId="1" applyNumberFormat="1" applyFont="1" applyFill="1" applyBorder="1" applyAlignment="1">
      <alignment horizontal="right"/>
    </xf>
    <xf numFmtId="4" fontId="27" fillId="10" borderId="65" xfId="1" applyNumberFormat="1" applyFont="1" applyFill="1" applyBorder="1" applyAlignment="1">
      <alignment horizontal="right"/>
    </xf>
    <xf numFmtId="0" fontId="32" fillId="10" borderId="20" xfId="1" applyFont="1" applyFill="1" applyBorder="1" applyAlignment="1">
      <alignment vertical="top"/>
    </xf>
    <xf numFmtId="4" fontId="32" fillId="10" borderId="65" xfId="1" applyNumberFormat="1" applyFont="1" applyFill="1" applyBorder="1" applyAlignment="1">
      <alignment horizontal="right" wrapText="1"/>
    </xf>
    <xf numFmtId="2" fontId="27" fillId="10" borderId="65" xfId="1" applyNumberFormat="1" applyFont="1" applyFill="1" applyBorder="1" applyAlignment="1">
      <alignment horizontal="right"/>
    </xf>
    <xf numFmtId="0" fontId="27" fillId="10" borderId="28" xfId="1" applyFont="1" applyFill="1" applyBorder="1"/>
    <xf numFmtId="2" fontId="27" fillId="10" borderId="68" xfId="1" applyNumberFormat="1" applyFont="1" applyFill="1" applyBorder="1" applyAlignment="1">
      <alignment horizontal="right"/>
    </xf>
    <xf numFmtId="0" fontId="32" fillId="10" borderId="20" xfId="1" applyFont="1" applyFill="1" applyBorder="1"/>
    <xf numFmtId="165" fontId="20" fillId="0" borderId="65" xfId="0" applyNumberFormat="1" applyFont="1" applyBorder="1" applyAlignment="1">
      <alignment horizontal="center"/>
    </xf>
    <xf numFmtId="165" fontId="15" fillId="4" borderId="2" xfId="0" applyNumberFormat="1" applyFont="1" applyFill="1" applyBorder="1" applyAlignment="1">
      <alignment horizontal="center"/>
    </xf>
    <xf numFmtId="0" fontId="0" fillId="0" borderId="65" xfId="0" applyBorder="1"/>
    <xf numFmtId="3" fontId="22" fillId="5" borderId="42" xfId="0" applyNumberFormat="1" applyFont="1" applyFill="1" applyBorder="1" applyAlignment="1">
      <alignment horizontal="right"/>
    </xf>
    <xf numFmtId="3" fontId="17" fillId="2" borderId="12" xfId="0" applyNumberFormat="1" applyFont="1" applyFill="1" applyBorder="1"/>
    <xf numFmtId="3" fontId="17" fillId="2" borderId="67" xfId="0" applyNumberFormat="1" applyFont="1" applyFill="1" applyBorder="1" applyAlignment="1">
      <alignment wrapText="1"/>
    </xf>
    <xf numFmtId="3" fontId="17" fillId="2" borderId="67" xfId="0" applyNumberFormat="1" applyFont="1" applyFill="1" applyBorder="1" applyAlignment="1">
      <alignment vertical="center" wrapText="1"/>
    </xf>
    <xf numFmtId="165" fontId="20" fillId="4" borderId="12" xfId="0" applyNumberFormat="1" applyFont="1" applyFill="1" applyBorder="1" applyAlignment="1">
      <alignment horizontal="center"/>
    </xf>
    <xf numFmtId="3" fontId="15" fillId="0" borderId="68" xfId="0" applyNumberFormat="1" applyFont="1" applyFill="1" applyBorder="1" applyAlignment="1">
      <alignment horizontal="center"/>
    </xf>
    <xf numFmtId="0" fontId="0" fillId="0" borderId="68" xfId="0" applyBorder="1"/>
    <xf numFmtId="0" fontId="20" fillId="0" borderId="68" xfId="0" applyFont="1" applyBorder="1" applyAlignment="1">
      <alignment horizontal="center"/>
    </xf>
    <xf numFmtId="0" fontId="13" fillId="0" borderId="65" xfId="0" applyFont="1" applyBorder="1"/>
    <xf numFmtId="3" fontId="15" fillId="0" borderId="20" xfId="0" applyNumberFormat="1" applyFont="1" applyBorder="1"/>
    <xf numFmtId="3" fontId="14" fillId="0" borderId="73" xfId="0" applyNumberFormat="1" applyFont="1" applyBorder="1"/>
    <xf numFmtId="3" fontId="15" fillId="0" borderId="9" xfId="0" applyNumberFormat="1" applyFont="1" applyBorder="1"/>
    <xf numFmtId="3" fontId="15" fillId="0" borderId="59" xfId="0" applyNumberFormat="1" applyFont="1" applyBorder="1"/>
    <xf numFmtId="3" fontId="17" fillId="11" borderId="67" xfId="0" applyNumberFormat="1" applyFont="1" applyFill="1" applyBorder="1" applyAlignment="1"/>
    <xf numFmtId="3" fontId="17" fillId="11" borderId="67" xfId="0" applyNumberFormat="1" applyFont="1" applyFill="1" applyBorder="1"/>
    <xf numFmtId="3" fontId="15" fillId="0" borderId="9" xfId="0" applyNumberFormat="1" applyFont="1" applyFill="1" applyBorder="1"/>
    <xf numFmtId="3" fontId="17" fillId="4" borderId="7" xfId="0" applyNumberFormat="1" applyFont="1" applyFill="1" applyBorder="1" applyAlignment="1">
      <alignment horizontal="center"/>
    </xf>
    <xf numFmtId="3" fontId="14" fillId="12" borderId="8" xfId="0" applyNumberFormat="1" applyFont="1" applyFill="1" applyBorder="1" applyAlignment="1">
      <alignment horizontal="center"/>
    </xf>
    <xf numFmtId="3" fontId="14" fillId="12" borderId="7" xfId="0" applyNumberFormat="1" applyFont="1" applyFill="1" applyBorder="1" applyAlignment="1">
      <alignment horizontal="center"/>
    </xf>
    <xf numFmtId="0" fontId="14" fillId="12" borderId="7" xfId="0" applyFont="1" applyFill="1" applyBorder="1" applyAlignment="1">
      <alignment horizontal="center"/>
    </xf>
    <xf numFmtId="3" fontId="14" fillId="12" borderId="5" xfId="0" applyNumberFormat="1" applyFont="1" applyFill="1" applyBorder="1" applyAlignment="1">
      <alignment horizontal="center"/>
    </xf>
    <xf numFmtId="3" fontId="17" fillId="12" borderId="7" xfId="0" applyNumberFormat="1" applyFont="1" applyFill="1" applyBorder="1" applyAlignment="1">
      <alignment horizontal="center"/>
    </xf>
    <xf numFmtId="0" fontId="14" fillId="12" borderId="6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3" fontId="15" fillId="0" borderId="35" xfId="0" applyNumberFormat="1" applyFont="1" applyBorder="1" applyAlignment="1">
      <alignment horizontal="center"/>
    </xf>
    <xf numFmtId="3" fontId="14" fillId="3" borderId="8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15" fillId="4" borderId="25" xfId="0" applyNumberFormat="1" applyFont="1" applyFill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0" fillId="0" borderId="65" xfId="0" applyNumberFormat="1" applyBorder="1"/>
    <xf numFmtId="2" fontId="0" fillId="0" borderId="55" xfId="0" applyNumberFormat="1" applyBorder="1"/>
    <xf numFmtId="2" fontId="0" fillId="0" borderId="73" xfId="0" applyNumberFormat="1" applyBorder="1"/>
    <xf numFmtId="2" fontId="0" fillId="0" borderId="64" xfId="0" applyNumberFormat="1" applyBorder="1"/>
    <xf numFmtId="2" fontId="0" fillId="10" borderId="65" xfId="0" applyNumberFormat="1" applyFill="1" applyBorder="1"/>
    <xf numFmtId="3" fontId="10" fillId="0" borderId="55" xfId="5" applyNumberFormat="1" applyFill="1" applyBorder="1" applyAlignment="1">
      <alignment horizontal="center" vertical="top"/>
    </xf>
    <xf numFmtId="3" fontId="10" fillId="0" borderId="55" xfId="5" applyNumberFormat="1" applyBorder="1"/>
    <xf numFmtId="0" fontId="13" fillId="0" borderId="65" xfId="5" applyFont="1" applyBorder="1"/>
    <xf numFmtId="0" fontId="13" fillId="0" borderId="16" xfId="5" applyFont="1" applyBorder="1"/>
    <xf numFmtId="3" fontId="10" fillId="0" borderId="67" xfId="5" applyNumberFormat="1" applyBorder="1"/>
    <xf numFmtId="0" fontId="13" fillId="0" borderId="65" xfId="5" applyFont="1" applyBorder="1" applyAlignment="1">
      <alignment horizontal="center"/>
    </xf>
    <xf numFmtId="49" fontId="10" fillId="0" borderId="65" xfId="5" applyNumberFormat="1" applyBorder="1" applyAlignment="1">
      <alignment horizontal="left"/>
    </xf>
    <xf numFmtId="0" fontId="10" fillId="0" borderId="65" xfId="5" applyBorder="1" applyAlignment="1">
      <alignment vertical="top"/>
    </xf>
    <xf numFmtId="0" fontId="10" fillId="0" borderId="0" xfId="3" applyNumberFormat="1"/>
    <xf numFmtId="2" fontId="32" fillId="0" borderId="65" xfId="0" applyNumberFormat="1" applyFont="1" applyBorder="1"/>
    <xf numFmtId="2" fontId="32" fillId="0" borderId="65" xfId="0" applyNumberFormat="1" applyFont="1" applyFill="1" applyBorder="1"/>
    <xf numFmtId="2" fontId="32" fillId="0" borderId="73" xfId="0" applyNumberFormat="1" applyFont="1" applyBorder="1"/>
    <xf numFmtId="2" fontId="32" fillId="0" borderId="55" xfId="0" applyNumberFormat="1" applyFont="1" applyBorder="1"/>
    <xf numFmtId="4" fontId="32" fillId="8" borderId="20" xfId="1" applyNumberFormat="1" applyFont="1" applyFill="1" applyBorder="1" applyAlignment="1">
      <alignment horizontal="left"/>
    </xf>
    <xf numFmtId="4" fontId="32" fillId="8" borderId="65" xfId="1" applyNumberFormat="1" applyFont="1" applyFill="1" applyBorder="1" applyAlignment="1">
      <alignment horizontal="right"/>
    </xf>
    <xf numFmtId="2" fontId="0" fillId="8" borderId="65" xfId="0" applyNumberFormat="1" applyFill="1" applyBorder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3" fontId="20" fillId="0" borderId="65" xfId="0" applyNumberFormat="1" applyFont="1" applyBorder="1" applyAlignment="1">
      <alignment horizontal="center"/>
    </xf>
    <xf numFmtId="165" fontId="15" fillId="0" borderId="65" xfId="0" applyNumberFormat="1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165" fontId="15" fillId="4" borderId="1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3" fontId="10" fillId="0" borderId="65" xfId="5" applyNumberFormat="1" applyBorder="1" applyAlignment="1">
      <alignment horizontal="center"/>
    </xf>
    <xf numFmtId="0" fontId="8" fillId="0" borderId="74" xfId="1" applyFont="1" applyFill="1" applyBorder="1" applyAlignment="1">
      <alignment horizontal="center" vertical="center" wrapText="1"/>
    </xf>
    <xf numFmtId="4" fontId="27" fillId="0" borderId="78" xfId="1" applyNumberFormat="1" applyFont="1" applyFill="1" applyBorder="1" applyAlignment="1">
      <alignment horizontal="right"/>
    </xf>
    <xf numFmtId="4" fontId="27" fillId="0" borderId="74" xfId="1" applyNumberFormat="1" applyFont="1" applyFill="1" applyBorder="1" applyAlignment="1">
      <alignment horizontal="right"/>
    </xf>
    <xf numFmtId="0" fontId="7" fillId="0" borderId="64" xfId="1" applyFont="1" applyFill="1" applyBorder="1" applyAlignment="1">
      <alignment horizontal="center" vertical="center" wrapText="1"/>
    </xf>
    <xf numFmtId="2" fontId="27" fillId="0" borderId="74" xfId="1" applyNumberFormat="1" applyFont="1" applyFill="1" applyBorder="1" applyAlignment="1">
      <alignment horizontal="right"/>
    </xf>
    <xf numFmtId="0" fontId="0" fillId="0" borderId="33" xfId="0" applyBorder="1"/>
    <xf numFmtId="0" fontId="32" fillId="0" borderId="74" xfId="1" applyFont="1" applyFill="1" applyBorder="1" applyAlignment="1">
      <alignment horizontal="center" vertical="center" wrapText="1"/>
    </xf>
    <xf numFmtId="4" fontId="32" fillId="10" borderId="35" xfId="1" applyNumberFormat="1" applyFont="1" applyFill="1" applyBorder="1" applyAlignment="1">
      <alignment horizontal="right"/>
    </xf>
    <xf numFmtId="4" fontId="32" fillId="0" borderId="35" xfId="1" applyNumberFormat="1" applyFont="1" applyFill="1" applyBorder="1" applyAlignment="1">
      <alignment horizontal="right"/>
    </xf>
    <xf numFmtId="4" fontId="32" fillId="0" borderId="78" xfId="1" applyNumberFormat="1" applyFont="1" applyFill="1" applyBorder="1" applyAlignment="1">
      <alignment horizontal="right"/>
    </xf>
    <xf numFmtId="4" fontId="32" fillId="0" borderId="74" xfId="1" applyNumberFormat="1" applyFont="1" applyFill="1" applyBorder="1" applyAlignment="1">
      <alignment horizontal="right"/>
    </xf>
    <xf numFmtId="2" fontId="32" fillId="0" borderId="74" xfId="1" applyNumberFormat="1" applyFont="1" applyFill="1" applyBorder="1" applyAlignment="1">
      <alignment horizontal="right"/>
    </xf>
    <xf numFmtId="0" fontId="13" fillId="0" borderId="66" xfId="5" applyFont="1" applyBorder="1" applyAlignment="1">
      <alignment horizontal="center"/>
    </xf>
    <xf numFmtId="3" fontId="20" fillId="0" borderId="68" xfId="0" applyNumberFormat="1" applyFont="1" applyBorder="1" applyAlignment="1">
      <alignment horizontal="center"/>
    </xf>
    <xf numFmtId="2" fontId="0" fillId="0" borderId="56" xfId="0" applyNumberFormat="1" applyBorder="1"/>
    <xf numFmtId="2" fontId="0" fillId="0" borderId="60" xfId="0" applyNumberFormat="1" applyBorder="1"/>
    <xf numFmtId="0" fontId="6" fillId="0" borderId="16" xfId="1" applyFont="1" applyFill="1" applyBorder="1" applyAlignment="1">
      <alignment horizontal="center" vertical="center" wrapText="1"/>
    </xf>
    <xf numFmtId="2" fontId="0" fillId="0" borderId="65" xfId="0" applyNumberFormat="1" applyFill="1" applyBorder="1"/>
    <xf numFmtId="2" fontId="0" fillId="0" borderId="56" xfId="0" applyNumberFormat="1" applyFill="1" applyBorder="1"/>
    <xf numFmtId="2" fontId="0" fillId="10" borderId="56" xfId="0" applyNumberFormat="1" applyFill="1" applyBorder="1"/>
    <xf numFmtId="2" fontId="10" fillId="0" borderId="65" xfId="0" applyNumberFormat="1" applyFont="1" applyFill="1" applyBorder="1"/>
    <xf numFmtId="2" fontId="0" fillId="0" borderId="55" xfId="0" applyNumberFormat="1" applyFill="1" applyBorder="1"/>
    <xf numFmtId="0" fontId="12" fillId="0" borderId="0" xfId="0" applyFont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10" fillId="10" borderId="65" xfId="0" applyNumberFormat="1" applyFont="1" applyFill="1" applyBorder="1"/>
    <xf numFmtId="4" fontId="10" fillId="0" borderId="65" xfId="0" applyNumberFormat="1" applyFont="1" applyBorder="1"/>
    <xf numFmtId="4" fontId="10" fillId="0" borderId="55" xfId="0" applyNumberFormat="1" applyFont="1" applyBorder="1"/>
    <xf numFmtId="4" fontId="10" fillId="0" borderId="73" xfId="0" applyNumberFormat="1" applyFont="1" applyBorder="1"/>
    <xf numFmtId="4" fontId="10" fillId="0" borderId="65" xfId="0" applyNumberFormat="1" applyFont="1" applyFill="1" applyBorder="1"/>
    <xf numFmtId="4" fontId="10" fillId="0" borderId="64" xfId="0" applyNumberFormat="1" applyFont="1" applyBorder="1"/>
    <xf numFmtId="0" fontId="31" fillId="9" borderId="7" xfId="1" applyFont="1" applyFill="1" applyBorder="1" applyAlignment="1">
      <alignment horizontal="center" vertical="center" wrapText="1"/>
    </xf>
    <xf numFmtId="0" fontId="27" fillId="9" borderId="7" xfId="1" applyFont="1" applyFill="1" applyBorder="1" applyAlignment="1">
      <alignment horizontal="right"/>
    </xf>
    <xf numFmtId="4" fontId="27" fillId="9" borderId="24" xfId="1" applyNumberFormat="1" applyFont="1" applyFill="1" applyBorder="1" applyAlignment="1">
      <alignment horizontal="right"/>
    </xf>
    <xf numFmtId="4" fontId="27" fillId="9" borderId="20" xfId="1" applyNumberFormat="1" applyFont="1" applyFill="1" applyBorder="1" applyAlignment="1">
      <alignment horizontal="right"/>
    </xf>
    <xf numFmtId="4" fontId="27" fillId="9" borderId="7" xfId="1" applyNumberFormat="1" applyFont="1" applyFill="1" applyBorder="1" applyAlignment="1">
      <alignment horizontal="right"/>
    </xf>
    <xf numFmtId="2" fontId="27" fillId="0" borderId="73" xfId="1" applyNumberFormat="1" applyFont="1" applyFill="1" applyBorder="1" applyAlignment="1">
      <alignment horizontal="right"/>
    </xf>
    <xf numFmtId="2" fontId="27" fillId="10" borderId="20" xfId="1" applyNumberFormat="1" applyFont="1" applyFill="1" applyBorder="1" applyAlignment="1">
      <alignment horizontal="right"/>
    </xf>
    <xf numFmtId="2" fontId="0" fillId="0" borderId="62" xfId="0" applyNumberFormat="1" applyBorder="1"/>
    <xf numFmtId="0" fontId="32" fillId="0" borderId="28" xfId="1" applyFont="1" applyFill="1" applyBorder="1" applyAlignment="1">
      <alignment vertical="top" wrapText="1"/>
    </xf>
    <xf numFmtId="4" fontId="32" fillId="0" borderId="68" xfId="1" applyNumberFormat="1" applyFont="1" applyFill="1" applyBorder="1" applyAlignment="1">
      <alignment horizontal="right"/>
    </xf>
    <xf numFmtId="2" fontId="0" fillId="0" borderId="68" xfId="0" applyNumberFormat="1" applyBorder="1"/>
    <xf numFmtId="2" fontId="10" fillId="0" borderId="64" xfId="0" applyNumberFormat="1" applyFont="1" applyBorder="1" applyAlignment="1"/>
    <xf numFmtId="4" fontId="32" fillId="10" borderId="20" xfId="1" applyNumberFormat="1" applyFont="1" applyFill="1" applyBorder="1" applyAlignment="1"/>
    <xf numFmtId="0" fontId="32" fillId="0" borderId="64" xfId="0" applyFont="1" applyBorder="1" applyAlignment="1">
      <alignment horizontal="center" vertical="center"/>
    </xf>
    <xf numFmtId="4" fontId="32" fillId="0" borderId="80" xfId="1" applyNumberFormat="1" applyFont="1" applyFill="1" applyBorder="1" applyAlignment="1">
      <alignment horizontal="right"/>
    </xf>
    <xf numFmtId="0" fontId="36" fillId="0" borderId="64" xfId="0" applyFont="1" applyBorder="1" applyAlignment="1">
      <alignment horizontal="center" vertical="center"/>
    </xf>
    <xf numFmtId="2" fontId="32" fillId="0" borderId="80" xfId="1" applyNumberFormat="1" applyFont="1" applyFill="1" applyBorder="1" applyAlignment="1">
      <alignment horizontal="right"/>
    </xf>
    <xf numFmtId="0" fontId="32" fillId="0" borderId="45" xfId="1" applyFont="1" applyFill="1" applyBorder="1"/>
    <xf numFmtId="2" fontId="32" fillId="0" borderId="73" xfId="1" applyNumberFormat="1" applyFont="1" applyFill="1" applyBorder="1" applyAlignment="1">
      <alignment horizontal="right"/>
    </xf>
    <xf numFmtId="0" fontId="32" fillId="0" borderId="24" xfId="1" applyFont="1" applyFill="1" applyBorder="1" applyAlignment="1">
      <alignment horizontal="center"/>
    </xf>
    <xf numFmtId="4" fontId="10" fillId="0" borderId="55" xfId="0" applyNumberFormat="1" applyFont="1" applyFill="1" applyBorder="1"/>
    <xf numFmtId="4" fontId="32" fillId="0" borderId="45" xfId="1" applyNumberFormat="1" applyFont="1" applyFill="1" applyBorder="1" applyAlignment="1">
      <alignment horizontal="left"/>
    </xf>
    <xf numFmtId="4" fontId="32" fillId="0" borderId="73" xfId="1" applyNumberFormat="1" applyFont="1" applyFill="1" applyBorder="1" applyAlignment="1">
      <alignment horizontal="right"/>
    </xf>
    <xf numFmtId="0" fontId="32" fillId="0" borderId="45" xfId="1" applyFont="1" applyFill="1" applyBorder="1" applyAlignment="1">
      <alignment wrapText="1"/>
    </xf>
    <xf numFmtId="3" fontId="10" fillId="0" borderId="0" xfId="5" applyNumberFormat="1" applyBorder="1"/>
    <xf numFmtId="3" fontId="10" fillId="0" borderId="0" xfId="5" applyNumberFormat="1" applyBorder="1" applyAlignment="1">
      <alignment horizontal="center" vertical="center"/>
    </xf>
    <xf numFmtId="0" fontId="10" fillId="0" borderId="72" xfId="5" applyBorder="1"/>
    <xf numFmtId="0" fontId="13" fillId="0" borderId="66" xfId="5" applyFont="1" applyBorder="1"/>
    <xf numFmtId="0" fontId="13" fillId="0" borderId="52" xfId="5" applyFont="1" applyBorder="1" applyAlignment="1">
      <alignment horizontal="center"/>
    </xf>
    <xf numFmtId="0" fontId="10" fillId="0" borderId="69" xfId="5" applyBorder="1"/>
    <xf numFmtId="3" fontId="10" fillId="0" borderId="55" xfId="5" applyNumberFormat="1" applyBorder="1" applyAlignment="1">
      <alignment horizontal="center"/>
    </xf>
    <xf numFmtId="3" fontId="10" fillId="0" borderId="55" xfId="5" applyNumberFormat="1" applyBorder="1" applyAlignment="1">
      <alignment horizontal="center" vertical="top"/>
    </xf>
    <xf numFmtId="3" fontId="10" fillId="0" borderId="67" xfId="5" applyNumberFormat="1" applyBorder="1" applyAlignment="1">
      <alignment horizontal="center"/>
    </xf>
    <xf numFmtId="0" fontId="10" fillId="0" borderId="55" xfId="5" applyBorder="1"/>
    <xf numFmtId="3" fontId="10" fillId="0" borderId="68" xfId="5" applyNumberFormat="1" applyBorder="1"/>
    <xf numFmtId="3" fontId="10" fillId="0" borderId="68" xfId="5" applyNumberFormat="1" applyBorder="1" applyAlignment="1">
      <alignment horizontal="center"/>
    </xf>
    <xf numFmtId="0" fontId="10" fillId="0" borderId="63" xfId="5" applyBorder="1"/>
    <xf numFmtId="0" fontId="13" fillId="0" borderId="64" xfId="5" applyFont="1" applyBorder="1" applyAlignment="1">
      <alignment horizontal="center"/>
    </xf>
    <xf numFmtId="0" fontId="13" fillId="0" borderId="62" xfId="5" applyFont="1" applyBorder="1" applyAlignment="1">
      <alignment horizontal="center"/>
    </xf>
    <xf numFmtId="0" fontId="10" fillId="0" borderId="70" xfId="5" applyBorder="1"/>
    <xf numFmtId="3" fontId="10" fillId="0" borderId="56" xfId="5" applyNumberFormat="1" applyBorder="1" applyAlignment="1">
      <alignment horizontal="center"/>
    </xf>
    <xf numFmtId="3" fontId="13" fillId="0" borderId="64" xfId="5" applyNumberFormat="1" applyFont="1" applyBorder="1" applyAlignment="1">
      <alignment horizontal="center"/>
    </xf>
    <xf numFmtId="0" fontId="10" fillId="0" borderId="0" xfId="5" applyBorder="1" applyAlignment="1">
      <alignment vertical="top"/>
    </xf>
    <xf numFmtId="3" fontId="10" fillId="0" borderId="56" xfId="5" applyNumberFormat="1" applyBorder="1"/>
    <xf numFmtId="0" fontId="10" fillId="0" borderId="20" xfId="5" applyBorder="1" applyAlignment="1">
      <alignment vertical="top"/>
    </xf>
    <xf numFmtId="0" fontId="10" fillId="0" borderId="59" xfId="5" applyBorder="1" applyAlignment="1">
      <alignment vertical="top"/>
    </xf>
    <xf numFmtId="0" fontId="13" fillId="0" borderId="38" xfId="5" applyFont="1" applyBorder="1" applyAlignment="1">
      <alignment horizontal="center"/>
    </xf>
    <xf numFmtId="3" fontId="10" fillId="0" borderId="35" xfId="5" applyNumberFormat="1" applyBorder="1"/>
    <xf numFmtId="0" fontId="10" fillId="0" borderId="78" xfId="5" applyBorder="1"/>
    <xf numFmtId="0" fontId="13" fillId="0" borderId="64" xfId="5" applyFont="1" applyBorder="1"/>
    <xf numFmtId="3" fontId="10" fillId="0" borderId="64" xfId="5" applyNumberFormat="1" applyBorder="1" applyAlignment="1">
      <alignment horizontal="center" vertical="top"/>
    </xf>
    <xf numFmtId="3" fontId="10" fillId="0" borderId="64" xfId="5" applyNumberFormat="1" applyFill="1" applyBorder="1" applyAlignment="1">
      <alignment horizontal="center" vertical="top"/>
    </xf>
    <xf numFmtId="3" fontId="10" fillId="0" borderId="76" xfId="5" applyNumberFormat="1" applyBorder="1"/>
    <xf numFmtId="0" fontId="10" fillId="0" borderId="7" xfId="5" applyBorder="1"/>
    <xf numFmtId="0" fontId="10" fillId="0" borderId="24" xfId="5" applyBorder="1"/>
    <xf numFmtId="0" fontId="10" fillId="0" borderId="20" xfId="5" applyBorder="1"/>
    <xf numFmtId="0" fontId="10" fillId="0" borderId="28" xfId="5" applyBorder="1"/>
    <xf numFmtId="3" fontId="10" fillId="0" borderId="77" xfId="5" applyNumberFormat="1" applyBorder="1"/>
    <xf numFmtId="3" fontId="10" fillId="0" borderId="60" xfId="5" applyNumberForma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3" fontId="13" fillId="0" borderId="73" xfId="5" applyNumberFormat="1" applyFont="1" applyBorder="1" applyAlignment="1">
      <alignment horizontal="center"/>
    </xf>
    <xf numFmtId="0" fontId="13" fillId="0" borderId="74" xfId="5" applyFont="1" applyBorder="1" applyAlignment="1">
      <alignment horizontal="center"/>
    </xf>
    <xf numFmtId="3" fontId="10" fillId="0" borderId="36" xfId="5" applyNumberFormat="1" applyBorder="1"/>
    <xf numFmtId="0" fontId="13" fillId="0" borderId="74" xfId="5" applyFont="1" applyBorder="1"/>
    <xf numFmtId="0" fontId="5" fillId="0" borderId="64" xfId="1" applyFont="1" applyFill="1" applyBorder="1" applyAlignment="1">
      <alignment horizontal="center" vertical="center" wrapText="1"/>
    </xf>
    <xf numFmtId="2" fontId="0" fillId="0" borderId="64" xfId="0" applyNumberFormat="1" applyFill="1" applyBorder="1"/>
    <xf numFmtId="0" fontId="32" fillId="8" borderId="20" xfId="1" applyFont="1" applyFill="1" applyBorder="1" applyAlignment="1">
      <alignment vertical="top"/>
    </xf>
    <xf numFmtId="4" fontId="32" fillId="8" borderId="65" xfId="1" applyNumberFormat="1" applyFont="1" applyFill="1" applyBorder="1" applyAlignment="1">
      <alignment horizontal="right" wrapText="1"/>
    </xf>
    <xf numFmtId="4" fontId="32" fillId="8" borderId="65" xfId="1" applyNumberFormat="1" applyFont="1" applyFill="1" applyBorder="1" applyAlignment="1"/>
    <xf numFmtId="2" fontId="32" fillId="8" borderId="65" xfId="0" applyNumberFormat="1" applyFont="1" applyFill="1" applyBorder="1"/>
    <xf numFmtId="4" fontId="32" fillId="8" borderId="35" xfId="1" applyNumberFormat="1" applyFont="1" applyFill="1" applyBorder="1" applyAlignment="1">
      <alignment horizontal="right"/>
    </xf>
    <xf numFmtId="0" fontId="31" fillId="13" borderId="7" xfId="1" applyFont="1" applyFill="1" applyBorder="1" applyAlignment="1">
      <alignment horizontal="center" vertical="center" wrapText="1"/>
    </xf>
    <xf numFmtId="0" fontId="32" fillId="13" borderId="7" xfId="1" applyFont="1" applyFill="1" applyBorder="1" applyAlignment="1">
      <alignment horizontal="center"/>
    </xf>
    <xf numFmtId="4" fontId="32" fillId="13" borderId="20" xfId="1" applyNumberFormat="1" applyFont="1" applyFill="1" applyBorder="1" applyAlignment="1">
      <alignment horizontal="right"/>
    </xf>
    <xf numFmtId="4" fontId="32" fillId="13" borderId="59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85" xfId="0" applyFont="1" applyBorder="1"/>
    <xf numFmtId="0" fontId="13" fillId="0" borderId="86" xfId="0" applyFont="1" applyBorder="1"/>
    <xf numFmtId="0" fontId="13" fillId="0" borderId="81" xfId="0" applyFont="1" applyBorder="1"/>
    <xf numFmtId="0" fontId="13" fillId="0" borderId="93" xfId="0" applyFont="1" applyBorder="1" applyAlignment="1">
      <alignment horizontal="center"/>
    </xf>
    <xf numFmtId="0" fontId="13" fillId="3" borderId="81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3" borderId="89" xfId="0" applyFont="1" applyFill="1" applyBorder="1" applyAlignment="1">
      <alignment horizontal="center" vertical="center" wrapText="1"/>
    </xf>
    <xf numFmtId="0" fontId="16" fillId="3" borderId="90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 wrapText="1"/>
    </xf>
    <xf numFmtId="0" fontId="13" fillId="3" borderId="94" xfId="0" applyFont="1" applyFill="1" applyBorder="1" applyAlignment="1">
      <alignment horizontal="center" vertical="center" wrapText="1"/>
    </xf>
    <xf numFmtId="0" fontId="13" fillId="0" borderId="96" xfId="0" applyFont="1" applyBorder="1" applyAlignment="1">
      <alignment horizontal="center"/>
    </xf>
    <xf numFmtId="0" fontId="13" fillId="0" borderId="85" xfId="0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0" fontId="15" fillId="0" borderId="7" xfId="0" applyFont="1" applyBorder="1"/>
    <xf numFmtId="3" fontId="15" fillId="0" borderId="7" xfId="0" applyNumberFormat="1" applyFont="1" applyBorder="1"/>
    <xf numFmtId="3" fontId="21" fillId="5" borderId="7" xfId="0" applyNumberFormat="1" applyFont="1" applyFill="1" applyBorder="1" applyAlignment="1">
      <alignment horizontal="right"/>
    </xf>
    <xf numFmtId="3" fontId="15" fillId="0" borderId="7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5" fillId="0" borderId="7" xfId="0" applyFont="1" applyFill="1" applyBorder="1"/>
    <xf numFmtId="0" fontId="18" fillId="0" borderId="7" xfId="0" applyFont="1" applyFill="1" applyBorder="1" applyAlignment="1">
      <alignment wrapText="1"/>
    </xf>
    <xf numFmtId="3" fontId="15" fillId="3" borderId="7" xfId="0" applyNumberFormat="1" applyFont="1" applyFill="1" applyBorder="1" applyAlignment="1">
      <alignment horizontal="center"/>
    </xf>
    <xf numFmtId="0" fontId="17" fillId="0" borderId="7" xfId="0" applyFont="1" applyFill="1" applyBorder="1"/>
    <xf numFmtId="3" fontId="17" fillId="0" borderId="7" xfId="0" applyNumberFormat="1" applyFont="1" applyFill="1" applyBorder="1"/>
    <xf numFmtId="3" fontId="22" fillId="5" borderId="7" xfId="0" applyNumberFormat="1" applyFont="1" applyFill="1" applyBorder="1" applyAlignment="1">
      <alignment horizontal="right"/>
    </xf>
    <xf numFmtId="165" fontId="14" fillId="4" borderId="7" xfId="0" applyNumberFormat="1" applyFont="1" applyFill="1" applyBorder="1" applyAlignment="1">
      <alignment horizontal="center"/>
    </xf>
    <xf numFmtId="3" fontId="14" fillId="0" borderId="7" xfId="0" applyNumberFormat="1" applyFont="1" applyFill="1" applyBorder="1" applyAlignment="1">
      <alignment horizontal="center"/>
    </xf>
    <xf numFmtId="3" fontId="15" fillId="2" borderId="7" xfId="0" applyNumberFormat="1" applyFont="1" applyFill="1" applyBorder="1"/>
    <xf numFmtId="3" fontId="15" fillId="0" borderId="7" xfId="0" applyNumberFormat="1" applyFont="1" applyFill="1" applyBorder="1" applyAlignment="1">
      <alignment wrapText="1"/>
    </xf>
    <xf numFmtId="3" fontId="15" fillId="0" borderId="7" xfId="0" applyNumberFormat="1" applyFont="1" applyFill="1" applyBorder="1" applyAlignment="1">
      <alignment horizontal="center" wrapText="1"/>
    </xf>
    <xf numFmtId="0" fontId="17" fillId="0" borderId="7" xfId="0" applyFont="1" applyBorder="1"/>
    <xf numFmtId="3" fontId="17" fillId="0" borderId="7" xfId="0" applyNumberFormat="1" applyFont="1" applyBorder="1"/>
    <xf numFmtId="3" fontId="17" fillId="0" borderId="7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165" fontId="20" fillId="0" borderId="7" xfId="0" applyNumberFormat="1" applyFont="1" applyBorder="1" applyAlignment="1">
      <alignment horizontal="center"/>
    </xf>
    <xf numFmtId="165" fontId="14" fillId="3" borderId="0" xfId="0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3" fontId="15" fillId="0" borderId="7" xfId="0" applyNumberFormat="1" applyFont="1" applyFill="1" applyBorder="1"/>
    <xf numFmtId="3" fontId="15" fillId="0" borderId="7" xfId="0" applyNumberFormat="1" applyFont="1" applyFill="1" applyBorder="1" applyAlignment="1">
      <alignment horizontal="center"/>
    </xf>
    <xf numFmtId="3" fontId="14" fillId="0" borderId="7" xfId="0" applyNumberFormat="1" applyFont="1" applyBorder="1"/>
    <xf numFmtId="0" fontId="23" fillId="0" borderId="7" xfId="0" applyFont="1" applyBorder="1" applyAlignment="1">
      <alignment vertical="center"/>
    </xf>
    <xf numFmtId="3" fontId="17" fillId="2" borderId="7" xfId="0" applyNumberFormat="1" applyFont="1" applyFill="1" applyBorder="1" applyAlignment="1">
      <alignment wrapText="1"/>
    </xf>
    <xf numFmtId="3" fontId="17" fillId="11" borderId="7" xfId="0" applyNumberFormat="1" applyFont="1" applyFill="1" applyBorder="1" applyAlignment="1"/>
    <xf numFmtId="3" fontId="17" fillId="2" borderId="7" xfId="0" applyNumberFormat="1" applyFont="1" applyFill="1" applyBorder="1" applyAlignment="1">
      <alignment vertical="center" wrapText="1"/>
    </xf>
    <xf numFmtId="3" fontId="17" fillId="11" borderId="7" xfId="0" applyNumberFormat="1" applyFont="1" applyFill="1" applyBorder="1"/>
    <xf numFmtId="0" fontId="13" fillId="11" borderId="10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2" fontId="27" fillId="10" borderId="35" xfId="1" applyNumberFormat="1" applyFont="1" applyFill="1" applyBorder="1" applyAlignment="1">
      <alignment horizontal="right"/>
    </xf>
    <xf numFmtId="2" fontId="27" fillId="10" borderId="65" xfId="1" applyNumberFormat="1" applyFont="1" applyFill="1" applyBorder="1" applyAlignment="1">
      <alignment horizontal="right" wrapText="1"/>
    </xf>
    <xf numFmtId="2" fontId="10" fillId="10" borderId="65" xfId="0" applyNumberFormat="1" applyFont="1" applyFill="1" applyBorder="1"/>
    <xf numFmtId="2" fontId="27" fillId="0" borderId="35" xfId="1" applyNumberFormat="1" applyFont="1" applyFill="1" applyBorder="1" applyAlignment="1">
      <alignment horizontal="right"/>
    </xf>
    <xf numFmtId="2" fontId="27" fillId="0" borderId="65" xfId="1" applyNumberFormat="1" applyFont="1" applyFill="1" applyBorder="1" applyAlignment="1">
      <alignment horizontal="right" wrapText="1"/>
    </xf>
    <xf numFmtId="2" fontId="10" fillId="0" borderId="65" xfId="0" applyNumberFormat="1" applyFont="1" applyBorder="1"/>
    <xf numFmtId="2" fontId="27" fillId="0" borderId="55" xfId="1" applyNumberFormat="1" applyFont="1" applyFill="1" applyBorder="1" applyAlignment="1">
      <alignment horizontal="right"/>
    </xf>
    <xf numFmtId="2" fontId="27" fillId="0" borderId="78" xfId="1" applyNumberFormat="1" applyFont="1" applyFill="1" applyBorder="1" applyAlignment="1">
      <alignment horizontal="right"/>
    </xf>
    <xf numFmtId="2" fontId="10" fillId="0" borderId="55" xfId="0" applyNumberFormat="1" applyFont="1" applyBorder="1"/>
    <xf numFmtId="2" fontId="27" fillId="0" borderId="80" xfId="1" applyNumberFormat="1" applyFont="1" applyFill="1" applyBorder="1" applyAlignment="1">
      <alignment horizontal="right"/>
    </xf>
    <xf numFmtId="2" fontId="10" fillId="0" borderId="73" xfId="0" applyNumberFormat="1" applyFont="1" applyBorder="1"/>
    <xf numFmtId="2" fontId="27" fillId="10" borderId="20" xfId="1" applyNumberFormat="1" applyFont="1" applyFill="1" applyBorder="1" applyAlignment="1"/>
    <xf numFmtId="4" fontId="10" fillId="0" borderId="68" xfId="0" applyNumberFormat="1" applyFont="1" applyBorder="1"/>
    <xf numFmtId="3" fontId="10" fillId="0" borderId="78" xfId="5" applyNumberFormat="1" applyBorder="1" applyAlignment="1">
      <alignment horizontal="center"/>
    </xf>
    <xf numFmtId="3" fontId="10" fillId="0" borderId="64" xfId="5" applyNumberFormat="1" applyBorder="1" applyAlignment="1">
      <alignment horizontal="center"/>
    </xf>
    <xf numFmtId="3" fontId="10" fillId="0" borderId="99" xfId="5" applyNumberFormat="1" applyBorder="1" applyAlignment="1">
      <alignment horizontal="center" vertical="top"/>
    </xf>
    <xf numFmtId="3" fontId="10" fillId="0" borderId="100" xfId="5" applyNumberFormat="1" applyBorder="1" applyAlignment="1">
      <alignment horizontal="center" vertical="top"/>
    </xf>
    <xf numFmtId="0" fontId="19" fillId="0" borderId="24" xfId="5" applyFont="1" applyBorder="1" applyAlignment="1">
      <alignment vertical="top"/>
    </xf>
    <xf numFmtId="3" fontId="10" fillId="0" borderId="101" xfId="5" applyNumberFormat="1" applyBorder="1" applyAlignment="1">
      <alignment horizontal="center" vertical="top"/>
    </xf>
    <xf numFmtId="0" fontId="10" fillId="0" borderId="7" xfId="5" applyFont="1" applyBorder="1"/>
    <xf numFmtId="0" fontId="13" fillId="0" borderId="12" xfId="5" applyFont="1" applyBorder="1" applyAlignment="1">
      <alignment horizontal="center" wrapText="1"/>
    </xf>
    <xf numFmtId="3" fontId="10" fillId="0" borderId="12" xfId="5" applyNumberFormat="1" applyBorder="1" applyAlignment="1">
      <alignment horizontal="center"/>
    </xf>
    <xf numFmtId="0" fontId="4" fillId="0" borderId="74" xfId="1" applyFont="1" applyFill="1" applyBorder="1" applyAlignment="1">
      <alignment horizontal="center" vertical="center" wrapText="1"/>
    </xf>
    <xf numFmtId="2" fontId="0" fillId="0" borderId="35" xfId="0" applyNumberFormat="1" applyBorder="1"/>
    <xf numFmtId="0" fontId="3" fillId="0" borderId="62" xfId="1" applyFont="1" applyFill="1" applyBorder="1" applyAlignment="1">
      <alignment horizontal="center" vertical="center" wrapText="1"/>
    </xf>
    <xf numFmtId="2" fontId="10" fillId="10" borderId="58" xfId="0" applyNumberFormat="1" applyFont="1" applyFill="1" applyBorder="1"/>
    <xf numFmtId="0" fontId="4" fillId="0" borderId="64" xfId="1" applyFont="1" applyFill="1" applyBorder="1" applyAlignment="1">
      <alignment horizontal="center" vertical="center" wrapText="1"/>
    </xf>
    <xf numFmtId="2" fontId="0" fillId="0" borderId="74" xfId="0" applyNumberFormat="1" applyBorder="1"/>
    <xf numFmtId="4" fontId="32" fillId="0" borderId="42" xfId="1" applyNumberFormat="1" applyFont="1" applyFill="1" applyBorder="1" applyAlignment="1">
      <alignment horizontal="right"/>
    </xf>
    <xf numFmtId="2" fontId="0" fillId="0" borderId="35" xfId="0" applyNumberFormat="1" applyFill="1" applyBorder="1"/>
    <xf numFmtId="2" fontId="0" fillId="0" borderId="68" xfId="0" applyNumberFormat="1" applyFill="1" applyBorder="1"/>
    <xf numFmtId="2" fontId="0" fillId="0" borderId="74" xfId="0" applyNumberFormat="1" applyFill="1" applyBorder="1"/>
    <xf numFmtId="2" fontId="0" fillId="0" borderId="78" xfId="0" applyNumberFormat="1" applyFill="1" applyBorder="1"/>
    <xf numFmtId="2" fontId="0" fillId="8" borderId="35" xfId="0" applyNumberFormat="1" applyFill="1" applyBorder="1"/>
    <xf numFmtId="4" fontId="32" fillId="0" borderId="6" xfId="1" applyNumberFormat="1" applyFont="1" applyFill="1" applyBorder="1" applyAlignment="1">
      <alignment horizontal="right"/>
    </xf>
    <xf numFmtId="4" fontId="10" fillId="0" borderId="42" xfId="0" applyNumberFormat="1" applyFont="1" applyBorder="1"/>
    <xf numFmtId="0" fontId="13" fillId="0" borderId="104" xfId="5" applyFont="1" applyBorder="1" applyAlignment="1">
      <alignment horizontal="center"/>
    </xf>
    <xf numFmtId="3" fontId="10" fillId="0" borderId="46" xfId="5" applyNumberFormat="1" applyFont="1" applyBorder="1" applyAlignment="1">
      <alignment horizontal="center"/>
    </xf>
    <xf numFmtId="0" fontId="10" fillId="0" borderId="6" xfId="5" applyBorder="1"/>
    <xf numFmtId="3" fontId="10" fillId="0" borderId="52" xfId="5" applyNumberFormat="1" applyBorder="1" applyAlignment="1">
      <alignment horizontal="center"/>
    </xf>
    <xf numFmtId="49" fontId="10" fillId="0" borderId="24" xfId="5" applyNumberFormat="1" applyBorder="1" applyAlignment="1">
      <alignment horizontal="left"/>
    </xf>
    <xf numFmtId="0" fontId="13" fillId="0" borderId="7" xfId="5" applyFont="1" applyBorder="1"/>
    <xf numFmtId="0" fontId="18" fillId="0" borderId="7" xfId="5" applyFont="1" applyBorder="1"/>
    <xf numFmtId="0" fontId="13" fillId="0" borderId="42" xfId="5" applyFont="1" applyBorder="1" applyAlignment="1">
      <alignment horizontal="center"/>
    </xf>
    <xf numFmtId="0" fontId="10" fillId="0" borderId="33" xfId="5" applyBorder="1"/>
    <xf numFmtId="0" fontId="13" fillId="0" borderId="12" xfId="5" applyFont="1" applyBorder="1" applyAlignment="1">
      <alignment horizontal="center"/>
    </xf>
    <xf numFmtId="3" fontId="10" fillId="0" borderId="66" xfId="5" applyNumberFormat="1" applyBorder="1"/>
    <xf numFmtId="3" fontId="13" fillId="0" borderId="64" xfId="5" applyNumberFormat="1" applyFont="1" applyBorder="1"/>
    <xf numFmtId="3" fontId="10" fillId="0" borderId="104" xfId="5" applyNumberFormat="1" applyBorder="1"/>
    <xf numFmtId="3" fontId="10" fillId="0" borderId="99" xfId="5" applyNumberFormat="1" applyBorder="1"/>
    <xf numFmtId="3" fontId="10" fillId="0" borderId="46" xfId="5" applyNumberFormat="1" applyBorder="1"/>
    <xf numFmtId="3" fontId="13" fillId="0" borderId="12" xfId="5" applyNumberFormat="1" applyFont="1" applyBorder="1"/>
    <xf numFmtId="3" fontId="10" fillId="0" borderId="80" xfId="5" applyNumberFormat="1" applyFont="1" applyBorder="1" applyAlignment="1">
      <alignment horizontal="center"/>
    </xf>
    <xf numFmtId="3" fontId="10" fillId="0" borderId="35" xfId="5" applyNumberFormat="1" applyBorder="1" applyAlignment="1">
      <alignment horizontal="center"/>
    </xf>
    <xf numFmtId="0" fontId="10" fillId="0" borderId="105" xfId="5" applyBorder="1"/>
    <xf numFmtId="3" fontId="10" fillId="0" borderId="77" xfId="5" applyNumberFormat="1" applyBorder="1" applyAlignment="1">
      <alignment horizontal="center"/>
    </xf>
    <xf numFmtId="3" fontId="10" fillId="0" borderId="60" xfId="5" applyNumberFormat="1" applyBorder="1"/>
    <xf numFmtId="0" fontId="2" fillId="0" borderId="16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3" fontId="37" fillId="5" borderId="7" xfId="0" applyNumberFormat="1" applyFont="1" applyFill="1" applyBorder="1" applyAlignment="1">
      <alignment horizontal="right"/>
    </xf>
    <xf numFmtId="165" fontId="17" fillId="4" borderId="7" xfId="0" applyNumberFormat="1" applyFont="1" applyFill="1" applyBorder="1" applyAlignment="1">
      <alignment horizontal="center"/>
    </xf>
    <xf numFmtId="3" fontId="17" fillId="0" borderId="7" xfId="0" applyNumberFormat="1" applyFont="1" applyFill="1" applyBorder="1" applyAlignment="1">
      <alignment horizontal="center"/>
    </xf>
    <xf numFmtId="165" fontId="38" fillId="4" borderId="7" xfId="0" applyNumberFormat="1" applyFont="1" applyFill="1" applyBorder="1" applyAlignment="1">
      <alignment horizontal="center"/>
    </xf>
    <xf numFmtId="0" fontId="17" fillId="12" borderId="7" xfId="0" applyFont="1" applyFill="1" applyBorder="1" applyAlignment="1">
      <alignment horizontal="center"/>
    </xf>
    <xf numFmtId="3" fontId="37" fillId="5" borderId="7" xfId="0" applyNumberFormat="1" applyFont="1" applyFill="1" applyBorder="1" applyAlignment="1">
      <alignment horizontal="center"/>
    </xf>
    <xf numFmtId="2" fontId="10" fillId="8" borderId="58" xfId="0" applyNumberFormat="1" applyFont="1" applyFill="1" applyBorder="1"/>
    <xf numFmtId="0" fontId="27" fillId="0" borderId="5" xfId="1" applyFont="1" applyFill="1" applyBorder="1" applyAlignment="1">
      <alignment wrapText="1"/>
    </xf>
    <xf numFmtId="2" fontId="27" fillId="0" borderId="61" xfId="1" applyNumberFormat="1" applyFont="1" applyFill="1" applyBorder="1" applyAlignment="1">
      <alignment horizontal="right"/>
    </xf>
    <xf numFmtId="2" fontId="0" fillId="0" borderId="99" xfId="0" applyNumberFormat="1" applyBorder="1"/>
    <xf numFmtId="4" fontId="27" fillId="10" borderId="20" xfId="1" applyNumberFormat="1" applyFont="1" applyFill="1" applyBorder="1" applyAlignment="1">
      <alignment horizontal="right"/>
    </xf>
    <xf numFmtId="2" fontId="32" fillId="10" borderId="65" xfId="0" applyNumberFormat="1" applyFont="1" applyFill="1" applyBorder="1"/>
    <xf numFmtId="2" fontId="0" fillId="10" borderId="99" xfId="0" applyNumberFormat="1" applyFill="1" applyBorder="1"/>
    <xf numFmtId="0" fontId="6" fillId="10" borderId="20" xfId="1" applyFont="1" applyFill="1" applyBorder="1" applyAlignment="1">
      <alignment vertical="top"/>
    </xf>
    <xf numFmtId="2" fontId="0" fillId="0" borderId="108" xfId="0" applyNumberFormat="1" applyBorder="1"/>
    <xf numFmtId="2" fontId="0" fillId="0" borderId="101" xfId="0" applyNumberFormat="1" applyBorder="1"/>
    <xf numFmtId="4" fontId="27" fillId="9" borderId="59" xfId="1" applyNumberFormat="1" applyFont="1" applyFill="1" applyBorder="1" applyAlignment="1">
      <alignment horizontal="right"/>
    </xf>
    <xf numFmtId="2" fontId="0" fillId="0" borderId="59" xfId="0" applyNumberFormat="1" applyBorder="1"/>
    <xf numFmtId="2" fontId="0" fillId="0" borderId="107" xfId="0" applyNumberFormat="1" applyBorder="1"/>
    <xf numFmtId="2" fontId="10" fillId="8" borderId="46" xfId="0" applyNumberFormat="1" applyFont="1" applyFill="1" applyBorder="1"/>
    <xf numFmtId="2" fontId="10" fillId="8" borderId="60" xfId="0" applyNumberFormat="1" applyFont="1" applyFill="1" applyBorder="1"/>
    <xf numFmtId="2" fontId="0" fillId="0" borderId="99" xfId="0" applyNumberFormat="1" applyFill="1" applyBorder="1"/>
    <xf numFmtId="2" fontId="27" fillId="9" borderId="16" xfId="1" applyNumberFormat="1" applyFont="1" applyFill="1" applyBorder="1" applyAlignment="1">
      <alignment horizontal="right"/>
    </xf>
    <xf numFmtId="2" fontId="27" fillId="9" borderId="20" xfId="1" applyNumberFormat="1" applyFont="1" applyFill="1" applyBorder="1" applyAlignment="1"/>
    <xf numFmtId="2" fontId="27" fillId="9" borderId="59" xfId="1" applyNumberFormat="1" applyFont="1" applyFill="1" applyBorder="1" applyAlignment="1"/>
    <xf numFmtId="2" fontId="27" fillId="9" borderId="64" xfId="1" applyNumberFormat="1" applyFont="1" applyFill="1" applyBorder="1" applyAlignment="1"/>
    <xf numFmtId="2" fontId="27" fillId="9" borderId="20" xfId="1" applyNumberFormat="1" applyFont="1" applyFill="1" applyBorder="1" applyAlignment="1">
      <alignment horizontal="right"/>
    </xf>
    <xf numFmtId="2" fontId="27" fillId="9" borderId="59" xfId="1" applyNumberFormat="1" applyFont="1" applyFill="1" applyBorder="1" applyAlignment="1">
      <alignment horizontal="right"/>
    </xf>
    <xf numFmtId="2" fontId="27" fillId="9" borderId="7" xfId="1" applyNumberFormat="1" applyFont="1" applyFill="1" applyBorder="1" applyAlignment="1">
      <alignment horizontal="right"/>
    </xf>
    <xf numFmtId="2" fontId="0" fillId="8" borderId="55" xfId="0" applyNumberFormat="1" applyFill="1" applyBorder="1"/>
    <xf numFmtId="2" fontId="0" fillId="8" borderId="64" xfId="0" applyNumberFormat="1" applyFill="1" applyBorder="1"/>
    <xf numFmtId="2" fontId="0" fillId="0" borderId="60" xfId="0" applyNumberFormat="1" applyFill="1" applyBorder="1"/>
    <xf numFmtId="2" fontId="0" fillId="0" borderId="62" xfId="0" applyNumberFormat="1" applyFill="1" applyBorder="1"/>
    <xf numFmtId="0" fontId="32" fillId="0" borderId="102" xfId="1" applyFont="1" applyFill="1" applyBorder="1" applyAlignment="1">
      <alignment horizontal="center" vertical="center" wrapText="1"/>
    </xf>
    <xf numFmtId="0" fontId="35" fillId="0" borderId="0" xfId="0" applyFont="1" applyBorder="1"/>
    <xf numFmtId="2" fontId="0" fillId="0" borderId="79" xfId="0" applyNumberFormat="1" applyFill="1" applyBorder="1"/>
    <xf numFmtId="2" fontId="0" fillId="0" borderId="7" xfId="0" applyNumberFormat="1" applyBorder="1"/>
    <xf numFmtId="2" fontId="0" fillId="0" borderId="76" xfId="0" applyNumberFormat="1" applyFill="1" applyBorder="1"/>
    <xf numFmtId="3" fontId="10" fillId="0" borderId="66" xfId="5" applyNumberFormat="1" applyBorder="1" applyAlignment="1">
      <alignment horizontal="center"/>
    </xf>
    <xf numFmtId="3" fontId="13" fillId="0" borderId="46" xfId="5" applyNumberFormat="1" applyFont="1" applyBorder="1" applyAlignment="1">
      <alignment horizontal="center"/>
    </xf>
    <xf numFmtId="3" fontId="10" fillId="0" borderId="76" xfId="5" applyNumberFormat="1" applyBorder="1" applyAlignment="1">
      <alignment horizontal="center"/>
    </xf>
    <xf numFmtId="0" fontId="39" fillId="0" borderId="0" xfId="0" applyFont="1"/>
    <xf numFmtId="2" fontId="0" fillId="0" borderId="50" xfId="0" applyNumberFormat="1" applyBorder="1"/>
    <xf numFmtId="2" fontId="0" fillId="0" borderId="79" xfId="0" applyNumberFormat="1" applyBorder="1"/>
    <xf numFmtId="4" fontId="32" fillId="10" borderId="20" xfId="1" applyNumberFormat="1" applyFont="1" applyFill="1" applyBorder="1" applyAlignment="1">
      <alignment horizontal="right"/>
    </xf>
    <xf numFmtId="0" fontId="32" fillId="14" borderId="67" xfId="1" applyFont="1" applyFill="1" applyBorder="1" applyAlignment="1">
      <alignment horizontal="right"/>
    </xf>
    <xf numFmtId="0" fontId="0" fillId="14" borderId="67" xfId="0" applyFill="1" applyBorder="1"/>
    <xf numFmtId="0" fontId="0" fillId="14" borderId="66" xfId="0" applyFill="1" applyBorder="1"/>
    <xf numFmtId="0" fontId="0" fillId="14" borderId="52" xfId="0" applyFill="1" applyBorder="1"/>
    <xf numFmtId="4" fontId="32" fillId="14" borderId="66" xfId="1" applyNumberFormat="1" applyFont="1" applyFill="1" applyBorder="1" applyAlignment="1">
      <alignment horizontal="right"/>
    </xf>
    <xf numFmtId="4" fontId="35" fillId="14" borderId="66" xfId="0" applyNumberFormat="1" applyFont="1" applyFill="1" applyBorder="1"/>
    <xf numFmtId="0" fontId="32" fillId="14" borderId="66" xfId="1" applyFont="1" applyFill="1" applyBorder="1" applyAlignment="1">
      <alignment horizontal="right"/>
    </xf>
    <xf numFmtId="4" fontId="32" fillId="14" borderId="38" xfId="1" applyNumberFormat="1" applyFont="1" applyFill="1" applyBorder="1" applyAlignment="1">
      <alignment horizontal="right"/>
    </xf>
    <xf numFmtId="0" fontId="0" fillId="14" borderId="75" xfId="0" applyFill="1" applyBorder="1"/>
    <xf numFmtId="0" fontId="0" fillId="14" borderId="103" xfId="0" applyFill="1" applyBorder="1"/>
    <xf numFmtId="4" fontId="32" fillId="14" borderId="66" xfId="1" applyNumberFormat="1" applyFont="1" applyFill="1" applyBorder="1" applyAlignment="1"/>
    <xf numFmtId="0" fontId="0" fillId="14" borderId="77" xfId="0" applyFill="1" applyBorder="1"/>
    <xf numFmtId="0" fontId="0" fillId="14" borderId="98" xfId="0" applyFill="1" applyBorder="1"/>
    <xf numFmtId="0" fontId="0" fillId="14" borderId="104" xfId="0" applyFill="1" applyBorder="1"/>
    <xf numFmtId="4" fontId="35" fillId="14" borderId="67" xfId="0" applyNumberFormat="1" applyFont="1" applyFill="1" applyBorder="1"/>
    <xf numFmtId="0" fontId="0" fillId="14" borderId="34" xfId="0" applyFill="1" applyBorder="1"/>
    <xf numFmtId="2" fontId="32" fillId="10" borderId="65" xfId="1" applyNumberFormat="1" applyFont="1" applyFill="1" applyBorder="1" applyAlignment="1">
      <alignment horizontal="right"/>
    </xf>
    <xf numFmtId="4" fontId="32" fillId="13" borderId="7" xfId="1" applyNumberFormat="1" applyFont="1" applyFill="1" applyBorder="1" applyAlignment="1">
      <alignment horizontal="right"/>
    </xf>
    <xf numFmtId="4" fontId="10" fillId="0" borderId="60" xfId="0" applyNumberFormat="1" applyFont="1" applyBorder="1"/>
    <xf numFmtId="4" fontId="10" fillId="0" borderId="56" xfId="0" applyNumberFormat="1" applyFont="1" applyBorder="1"/>
    <xf numFmtId="4" fontId="10" fillId="10" borderId="56" xfId="0" applyNumberFormat="1" applyFont="1" applyFill="1" applyBorder="1"/>
    <xf numFmtId="4" fontId="10" fillId="0" borderId="61" xfId="0" applyNumberFormat="1" applyFont="1" applyBorder="1"/>
    <xf numFmtId="0" fontId="32" fillId="0" borderId="12" xfId="1" applyFont="1" applyFill="1" applyBorder="1" applyAlignment="1">
      <alignment horizontal="center" vertical="center" wrapText="1"/>
    </xf>
    <xf numFmtId="0" fontId="0" fillId="14" borderId="109" xfId="0" applyFill="1" applyBorder="1"/>
    <xf numFmtId="0" fontId="32" fillId="0" borderId="109" xfId="1" applyFont="1" applyFill="1" applyBorder="1" applyAlignment="1">
      <alignment horizontal="center" vertical="center" wrapText="1"/>
    </xf>
    <xf numFmtId="4" fontId="10" fillId="0" borderId="79" xfId="0" applyNumberFormat="1" applyFont="1" applyBorder="1"/>
    <xf numFmtId="3" fontId="10" fillId="0" borderId="55" xfId="5" applyNumberFormat="1" applyFont="1" applyBorder="1" applyAlignment="1">
      <alignment horizontal="center"/>
    </xf>
    <xf numFmtId="0" fontId="13" fillId="0" borderId="7" xfId="5" applyFont="1" applyBorder="1" applyAlignment="1">
      <alignment horizontal="center"/>
    </xf>
    <xf numFmtId="3" fontId="10" fillId="0" borderId="107" xfId="5" applyNumberFormat="1" applyBorder="1"/>
    <xf numFmtId="3" fontId="10" fillId="0" borderId="101" xfId="5" applyNumberFormat="1" applyBorder="1"/>
    <xf numFmtId="0" fontId="10" fillId="0" borderId="54" xfId="5" applyBorder="1"/>
    <xf numFmtId="3" fontId="10" fillId="0" borderId="61" xfId="5" applyNumberFormat="1" applyBorder="1" applyAlignment="1">
      <alignment horizontal="center"/>
    </xf>
    <xf numFmtId="3" fontId="10" fillId="0" borderId="46" xfId="5" applyNumberFormat="1" applyBorder="1" applyAlignment="1">
      <alignment horizontal="center"/>
    </xf>
    <xf numFmtId="0" fontId="13" fillId="0" borderId="61" xfId="5" applyFont="1" applyBorder="1" applyAlignment="1">
      <alignment horizontal="center"/>
    </xf>
    <xf numFmtId="4" fontId="27" fillId="14" borderId="67" xfId="1" applyNumberFormat="1" applyFont="1" applyFill="1" applyBorder="1" applyAlignment="1">
      <alignment horizontal="right"/>
    </xf>
    <xf numFmtId="4" fontId="27" fillId="14" borderId="66" xfId="1" applyNumberFormat="1" applyFont="1" applyFill="1" applyBorder="1" applyAlignment="1">
      <alignment horizontal="right"/>
    </xf>
    <xf numFmtId="0" fontId="0" fillId="14" borderId="106" xfId="0" applyFill="1" applyBorder="1"/>
    <xf numFmtId="0" fontId="0" fillId="14" borderId="102" xfId="0" applyFill="1" applyBorder="1"/>
    <xf numFmtId="2" fontId="27" fillId="14" borderId="66" xfId="1" applyNumberFormat="1" applyFont="1" applyFill="1" applyBorder="1" applyAlignment="1">
      <alignment horizontal="right"/>
    </xf>
    <xf numFmtId="2" fontId="27" fillId="14" borderId="38" xfId="1" applyNumberFormat="1" applyFont="1" applyFill="1" applyBorder="1" applyAlignment="1">
      <alignment horizontal="right"/>
    </xf>
    <xf numFmtId="2" fontId="27" fillId="14" borderId="67" xfId="1" applyNumberFormat="1" applyFont="1" applyFill="1" applyBorder="1" applyAlignment="1">
      <alignment horizontal="right"/>
    </xf>
    <xf numFmtId="2" fontId="0" fillId="14" borderId="77" xfId="0" applyNumberFormat="1" applyFill="1" applyBorder="1"/>
    <xf numFmtId="2" fontId="0" fillId="14" borderId="66" xfId="0" applyNumberFormat="1" applyFill="1" applyBorder="1"/>
    <xf numFmtId="2" fontId="0" fillId="14" borderId="102" xfId="0" applyNumberFormat="1" applyFill="1" applyBorder="1"/>
    <xf numFmtId="4" fontId="27" fillId="14" borderId="77" xfId="1" applyNumberFormat="1" applyFont="1" applyFill="1" applyBorder="1" applyAlignment="1">
      <alignment horizontal="right"/>
    </xf>
    <xf numFmtId="4" fontId="0" fillId="14" borderId="67" xfId="0" applyNumberFormat="1" applyFill="1" applyBorder="1"/>
    <xf numFmtId="0" fontId="33" fillId="13" borderId="7" xfId="1" applyFont="1" applyFill="1" applyBorder="1" applyAlignment="1">
      <alignment horizontal="center" vertical="center" wrapText="1"/>
    </xf>
    <xf numFmtId="4" fontId="32" fillId="13" borderId="32" xfId="1" applyNumberFormat="1" applyFont="1" applyFill="1" applyBorder="1" applyAlignment="1"/>
    <xf numFmtId="4" fontId="32" fillId="13" borderId="20" xfId="1" applyNumberFormat="1" applyFont="1" applyFill="1" applyBorder="1" applyAlignment="1"/>
    <xf numFmtId="4" fontId="32" fillId="13" borderId="59" xfId="1" applyNumberFormat="1" applyFont="1" applyFill="1" applyBorder="1" applyAlignment="1"/>
    <xf numFmtId="4" fontId="32" fillId="13" borderId="7" xfId="1" applyNumberFormat="1" applyFont="1" applyFill="1" applyBorder="1" applyAlignment="1"/>
    <xf numFmtId="0" fontId="32" fillId="13" borderId="32" xfId="1" applyFont="1" applyFill="1" applyBorder="1" applyAlignment="1">
      <alignment horizontal="right"/>
    </xf>
    <xf numFmtId="0" fontId="32" fillId="13" borderId="24" xfId="1" applyFont="1" applyFill="1" applyBorder="1" applyAlignment="1">
      <alignment horizontal="right"/>
    </xf>
    <xf numFmtId="4" fontId="32" fillId="13" borderId="32" xfId="1" applyNumberFormat="1" applyFont="1" applyFill="1" applyBorder="1" applyAlignment="1">
      <alignment horizontal="right"/>
    </xf>
    <xf numFmtId="4" fontId="32" fillId="13" borderId="24" xfId="1" applyNumberFormat="1" applyFont="1" applyFill="1" applyBorder="1" applyAlignment="1">
      <alignment horizontal="right"/>
    </xf>
    <xf numFmtId="0" fontId="32" fillId="15" borderId="20" xfId="1" applyFont="1" applyFill="1" applyBorder="1" applyAlignment="1">
      <alignment vertical="top"/>
    </xf>
    <xf numFmtId="4" fontId="32" fillId="15" borderId="20" xfId="1" applyNumberFormat="1" applyFont="1" applyFill="1" applyBorder="1" applyAlignment="1"/>
    <xf numFmtId="4" fontId="32" fillId="15" borderId="65" xfId="1" applyNumberFormat="1" applyFont="1" applyFill="1" applyBorder="1" applyAlignment="1">
      <alignment horizontal="right"/>
    </xf>
    <xf numFmtId="4" fontId="32" fillId="15" borderId="65" xfId="1" applyNumberFormat="1" applyFont="1" applyFill="1" applyBorder="1" applyAlignment="1"/>
    <xf numFmtId="2" fontId="32" fillId="15" borderId="65" xfId="0" applyNumberFormat="1" applyFont="1" applyFill="1" applyBorder="1"/>
    <xf numFmtId="4" fontId="32" fillId="15" borderId="35" xfId="1" applyNumberFormat="1" applyFont="1" applyFill="1" applyBorder="1" applyAlignment="1">
      <alignment horizontal="right"/>
    </xf>
    <xf numFmtId="2" fontId="0" fillId="15" borderId="65" xfId="0" applyNumberFormat="1" applyFill="1" applyBorder="1"/>
    <xf numFmtId="2" fontId="0" fillId="15" borderId="56" xfId="0" applyNumberFormat="1" applyFill="1" applyBorder="1"/>
    <xf numFmtId="0" fontId="1" fillId="0" borderId="7" xfId="1" applyFont="1" applyFill="1" applyBorder="1" applyAlignment="1">
      <alignment horizontal="center" vertical="center" wrapText="1"/>
    </xf>
    <xf numFmtId="0" fontId="0" fillId="14" borderId="51" xfId="0" applyFill="1" applyBorder="1"/>
    <xf numFmtId="4" fontId="32" fillId="15" borderId="20" xfId="1" applyNumberFormat="1" applyFont="1" applyFill="1" applyBorder="1" applyAlignment="1">
      <alignment horizontal="right"/>
    </xf>
    <xf numFmtId="4" fontId="10" fillId="15" borderId="65" xfId="0" applyNumberFormat="1" applyFont="1" applyFill="1" applyBorder="1"/>
    <xf numFmtId="2" fontId="0" fillId="15" borderId="50" xfId="0" applyNumberFormat="1" applyFill="1" applyBorder="1"/>
    <xf numFmtId="4" fontId="32" fillId="15" borderId="20" xfId="1" applyNumberFormat="1" applyFont="1" applyFill="1" applyBorder="1" applyAlignment="1">
      <alignment horizontal="left"/>
    </xf>
    <xf numFmtId="0" fontId="27" fillId="15" borderId="20" xfId="1" applyFont="1" applyFill="1" applyBorder="1" applyAlignment="1">
      <alignment vertical="top"/>
    </xf>
    <xf numFmtId="4" fontId="27" fillId="15" borderId="20" xfId="1" applyNumberFormat="1" applyFont="1" applyFill="1" applyBorder="1" applyAlignment="1">
      <alignment horizontal="right"/>
    </xf>
    <xf numFmtId="4" fontId="27" fillId="15" borderId="65" xfId="1" applyNumberFormat="1" applyFont="1" applyFill="1" applyBorder="1" applyAlignment="1">
      <alignment horizontal="right"/>
    </xf>
    <xf numFmtId="4" fontId="27" fillId="15" borderId="35" xfId="1" applyNumberFormat="1" applyFont="1" applyFill="1" applyBorder="1" applyAlignment="1">
      <alignment horizontal="right"/>
    </xf>
    <xf numFmtId="2" fontId="0" fillId="15" borderId="99" xfId="0" applyNumberFormat="1" applyFill="1" applyBorder="1"/>
    <xf numFmtId="0" fontId="27" fillId="10" borderId="20" xfId="1" applyFont="1" applyFill="1" applyBorder="1"/>
    <xf numFmtId="0" fontId="32" fillId="16" borderId="20" xfId="1" applyFont="1" applyFill="1" applyBorder="1"/>
    <xf numFmtId="4" fontId="32" fillId="16" borderId="20" xfId="1" applyNumberFormat="1" applyFont="1" applyFill="1" applyBorder="1" applyAlignment="1"/>
    <xf numFmtId="4" fontId="32" fillId="16" borderId="65" xfId="1" applyNumberFormat="1" applyFont="1" applyFill="1" applyBorder="1" applyAlignment="1">
      <alignment horizontal="right"/>
    </xf>
    <xf numFmtId="2" fontId="0" fillId="16" borderId="65" xfId="0" applyNumberFormat="1" applyFill="1" applyBorder="1"/>
    <xf numFmtId="4" fontId="32" fillId="16" borderId="35" xfId="1" applyNumberFormat="1" applyFont="1" applyFill="1" applyBorder="1" applyAlignment="1">
      <alignment horizontal="right"/>
    </xf>
    <xf numFmtId="2" fontId="0" fillId="16" borderId="35" xfId="0" applyNumberFormat="1" applyFill="1" applyBorder="1"/>
    <xf numFmtId="2" fontId="0" fillId="16" borderId="56" xfId="0" applyNumberFormat="1" applyFill="1" applyBorder="1"/>
    <xf numFmtId="0" fontId="12" fillId="0" borderId="0" xfId="0" applyFont="1" applyAlignment="1">
      <alignment horizont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top" wrapText="1"/>
    </xf>
    <xf numFmtId="0" fontId="14" fillId="2" borderId="51" xfId="0" applyFont="1" applyFill="1" applyBorder="1" applyAlignment="1">
      <alignment horizontal="center" vertical="top" wrapText="1"/>
    </xf>
    <xf numFmtId="0" fontId="15" fillId="2" borderId="52" xfId="0" applyFont="1" applyFill="1" applyBorder="1" applyAlignment="1">
      <alignment vertical="top"/>
    </xf>
    <xf numFmtId="0" fontId="12" fillId="0" borderId="49" xfId="0" applyFont="1" applyBorder="1" applyAlignment="1">
      <alignment horizontal="center"/>
    </xf>
    <xf numFmtId="0" fontId="13" fillId="6" borderId="35" xfId="0" applyFont="1" applyFill="1" applyBorder="1" applyAlignment="1">
      <alignment horizontal="center" vertical="top" wrapText="1"/>
    </xf>
    <xf numFmtId="0" fontId="13" fillId="6" borderId="50" xfId="0" applyFont="1" applyFill="1" applyBorder="1" applyAlignment="1">
      <alignment horizontal="center" vertical="top"/>
    </xf>
    <xf numFmtId="0" fontId="16" fillId="0" borderId="35" xfId="0" applyFont="1" applyBorder="1" applyAlignment="1">
      <alignment horizontal="center" vertical="top" wrapText="1"/>
    </xf>
    <xf numFmtId="0" fontId="16" fillId="0" borderId="50" xfId="0" applyFont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97" xfId="0" applyFont="1" applyFill="1" applyBorder="1" applyAlignment="1">
      <alignment horizontal="center" vertical="center" wrapText="1"/>
    </xf>
    <xf numFmtId="0" fontId="13" fillId="2" borderId="88" xfId="0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13" fillId="3" borderId="87" xfId="0" applyFont="1" applyFill="1" applyBorder="1" applyAlignment="1">
      <alignment horizontal="center" vertical="center" wrapText="1"/>
    </xf>
    <xf numFmtId="0" fontId="13" fillId="3" borderId="95" xfId="0" applyFont="1" applyFill="1" applyBorder="1" applyAlignment="1">
      <alignment horizontal="center" vertical="center" wrapText="1"/>
    </xf>
    <xf numFmtId="0" fontId="13" fillId="3" borderId="84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13" fillId="3" borderId="83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 wrapText="1"/>
    </xf>
    <xf numFmtId="0" fontId="13" fillId="2" borderId="9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wrapText="1"/>
    </xf>
    <xf numFmtId="0" fontId="13" fillId="0" borderId="83" xfId="0" applyFont="1" applyBorder="1" applyAlignment="1">
      <alignment horizontal="center" wrapText="1"/>
    </xf>
    <xf numFmtId="0" fontId="13" fillId="0" borderId="84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6" xfId="0" applyFont="1" applyBorder="1" applyAlignment="1">
      <alignment horizontal="center"/>
    </xf>
    <xf numFmtId="0" fontId="1" fillId="0" borderId="42" xfId="1" applyFont="1" applyFill="1" applyBorder="1" applyAlignment="1">
      <alignment horizontal="center" vertical="center" wrapText="1" shrinkToFit="1"/>
    </xf>
    <xf numFmtId="0" fontId="27" fillId="0" borderId="42" xfId="1" applyFont="1" applyFill="1" applyBorder="1" applyAlignment="1">
      <alignment horizontal="center" vertical="center" wrapText="1" shrinkToFit="1"/>
    </xf>
    <xf numFmtId="0" fontId="27" fillId="0" borderId="102" xfId="1" applyFont="1" applyFill="1" applyBorder="1" applyAlignment="1">
      <alignment horizontal="center" vertical="center" wrapText="1" shrinkToFit="1"/>
    </xf>
    <xf numFmtId="0" fontId="27" fillId="0" borderId="61" xfId="1" applyFont="1" applyFill="1" applyBorder="1" applyAlignment="1">
      <alignment horizontal="center" vertical="center" wrapText="1" shrinkToFit="1"/>
    </xf>
    <xf numFmtId="0" fontId="27" fillId="0" borderId="64" xfId="1" applyFont="1" applyFill="1" applyBorder="1" applyAlignment="1">
      <alignment horizontal="center" vertical="center" wrapText="1" shrinkToFit="1"/>
    </xf>
    <xf numFmtId="0" fontId="27" fillId="0" borderId="62" xfId="1" applyFont="1" applyFill="1" applyBorder="1" applyAlignment="1">
      <alignment horizontal="center" vertical="center" wrapText="1" shrinkToFit="1"/>
    </xf>
    <xf numFmtId="0" fontId="34" fillId="0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2" fillId="0" borderId="61" xfId="1" applyFont="1" applyFill="1" applyBorder="1" applyAlignment="1">
      <alignment horizontal="center" vertical="center" wrapText="1" shrinkToFit="1"/>
    </xf>
    <xf numFmtId="0" fontId="32" fillId="0" borderId="64" xfId="1" applyFont="1" applyFill="1" applyBorder="1" applyAlignment="1">
      <alignment horizontal="center" vertical="center" wrapText="1" shrinkToFit="1"/>
    </xf>
    <xf numFmtId="0" fontId="32" fillId="0" borderId="106" xfId="1" applyFont="1" applyFill="1" applyBorder="1" applyAlignment="1">
      <alignment horizontal="center" vertical="center" wrapText="1" shrinkToFit="1"/>
    </xf>
    <xf numFmtId="0" fontId="32" fillId="0" borderId="62" xfId="1" applyFont="1" applyFill="1" applyBorder="1" applyAlignment="1">
      <alignment horizontal="center" vertical="center" wrapText="1" shrinkToFit="1"/>
    </xf>
    <xf numFmtId="0" fontId="32" fillId="0" borderId="42" xfId="1" applyFont="1" applyFill="1" applyBorder="1" applyAlignment="1">
      <alignment horizontal="center" vertical="center" wrapText="1" shrinkToFit="1"/>
    </xf>
    <xf numFmtId="0" fontId="32" fillId="0" borderId="12" xfId="1" applyFont="1" applyFill="1" applyBorder="1" applyAlignment="1">
      <alignment horizontal="center" vertical="center" wrapText="1" shrinkToFit="1"/>
    </xf>
    <xf numFmtId="0" fontId="32" fillId="0" borderId="63" xfId="1" applyFont="1" applyFill="1" applyBorder="1" applyAlignment="1">
      <alignment horizontal="center" vertical="center" wrapText="1" shrinkToFit="1"/>
    </xf>
  </cellXfs>
  <cellStyles count="6">
    <cellStyle name="Akzent1" xfId="1" builtinId="29"/>
    <cellStyle name="Euro" xfId="2" xr:uid="{00000000-0005-0000-0000-000001000000}"/>
    <cellStyle name="Komma" xfId="3" builtinId="3"/>
    <cellStyle name="Standard" xfId="0" builtinId="0"/>
    <cellStyle name="Standard 2" xfId="4" xr:uid="{00000000-0005-0000-0000-000004000000}"/>
    <cellStyle name="Standard 3" xfId="5" xr:uid="{00000000-0005-0000-0000-000005000000}"/>
  </cellStyles>
  <dxfs count="0"/>
  <tableStyles count="0" defaultTableStyle="TableStyleMedium2" defaultPivotStyle="PivotStyleLight16"/>
  <colors>
    <mruColors>
      <color rgb="FFFFFFCC"/>
      <color rgb="FFFFFF99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Anzahl der gefährlichen Hunde nach § 3 Absatz 2 LHundG NRW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in den letzten 9 Jahren </a:t>
            </a:r>
          </a:p>
        </c:rich>
      </c:tx>
      <c:layout>
        <c:manualLayout>
          <c:xMode val="edge"/>
          <c:yMode val="edge"/>
          <c:x val="0.1280790542207865"/>
          <c:y val="3.78378576803773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4136157242757"/>
          <c:y val="0.31351423755531532"/>
          <c:w val="0.6962240146821268"/>
          <c:h val="0.48108219211074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'1Anz3'!$C$3:$K$3</c:f>
              <c:numCache>
                <c:formatCode>#,##0</c:formatCode>
                <c:ptCount val="9"/>
                <c:pt idx="0">
                  <c:v>11235</c:v>
                </c:pt>
                <c:pt idx="1">
                  <c:v>11097</c:v>
                </c:pt>
                <c:pt idx="2">
                  <c:v>10721</c:v>
                </c:pt>
                <c:pt idx="3">
                  <c:v>12431</c:v>
                </c:pt>
                <c:pt idx="4">
                  <c:v>12023</c:v>
                </c:pt>
                <c:pt idx="5">
                  <c:v>11927</c:v>
                </c:pt>
                <c:pt idx="6">
                  <c:v>10202</c:v>
                </c:pt>
                <c:pt idx="7">
                  <c:v>10063</c:v>
                </c:pt>
                <c:pt idx="8">
                  <c:v>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C-467B-8284-82035EC85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40192"/>
        <c:axId val="99241984"/>
      </c:barChart>
      <c:catAx>
        <c:axId val="9924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24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24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240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Anzahl der Hunde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nach § 10 Abs. 1 LHundG NRW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den Jahren 2007 bis 2011</a:t>
            </a:r>
          </a:p>
        </c:rich>
      </c:tx>
      <c:layout>
        <c:manualLayout>
          <c:xMode val="edge"/>
          <c:yMode val="edge"/>
          <c:x val="0.27464843210388179"/>
          <c:y val="3.787878787878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5054685332961"/>
          <c:y val="0.3257587807720051"/>
          <c:w val="0.65023623238572936"/>
          <c:h val="0.51894131355540352"/>
        </c:manualLayout>
      </c:layout>
      <c:lineChart>
        <c:grouping val="standard"/>
        <c:varyColors val="0"/>
        <c:ser>
          <c:idx val="0"/>
          <c:order val="0"/>
          <c:tx>
            <c:strRef>
              <c:f>'5Anz10BR'!$B$62:$B$62</c:f>
              <c:strCache>
                <c:ptCount val="1"/>
                <c:pt idx="0">
                  <c:v>Anzahl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'5Anz10BR'!$C$61:$C$61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'5Anz10BR'!$C$62:$C$62</c:f>
              <c:numCache>
                <c:formatCode>#,##0</c:formatCode>
                <c:ptCount val="1"/>
                <c:pt idx="0">
                  <c:v>11530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D-4163-B7F0-ECCA40266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83040"/>
        <c:axId val="109393024"/>
      </c:lineChart>
      <c:catAx>
        <c:axId val="10938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3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9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38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20847394075746"/>
          <c:y val="0.54924441263023938"/>
          <c:w val="0.16901466264085407"/>
          <c:h val="7.57579734351387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Vorfälle mit Hunden nach § 10 Absatz 1 LHundG NRW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den Jahren 2018 - 2022 nach absoluten Zahlen </a:t>
            </a:r>
          </a:p>
        </c:rich>
      </c:tx>
      <c:layout>
        <c:manualLayout>
          <c:xMode val="edge"/>
          <c:yMode val="edge"/>
          <c:x val="0.13774606299212599"/>
          <c:y val="3.0211459416629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6808166445527"/>
          <c:y val="0.18126914957802701"/>
          <c:w val="0.76923144114720865"/>
          <c:h val="0.62537856604419317"/>
        </c:manualLayout>
      </c:layout>
      <c:lineChart>
        <c:grouping val="standard"/>
        <c:varyColors val="0"/>
        <c:ser>
          <c:idx val="0"/>
          <c:order val="0"/>
          <c:tx>
            <c:strRef>
              <c:f>'6Vorf10'!$A$3</c:f>
              <c:strCache>
                <c:ptCount val="1"/>
                <c:pt idx="0">
                  <c:v>Mensch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'6Vorf10'!$B$2:$F$2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'6Vorf10'!$B$3:$F$3</c:f>
              <c:numCache>
                <c:formatCode>#,##0</c:formatCode>
                <c:ptCount val="5"/>
                <c:pt idx="0">
                  <c:v>28</c:v>
                </c:pt>
                <c:pt idx="1">
                  <c:v>30</c:v>
                </c:pt>
                <c:pt idx="2">
                  <c:v>30</c:v>
                </c:pt>
                <c:pt idx="3">
                  <c:v>40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DB-4F77-983B-02A2857F268A}"/>
            </c:ext>
          </c:extLst>
        </c:ser>
        <c:ser>
          <c:idx val="1"/>
          <c:order val="1"/>
          <c:tx>
            <c:strRef>
              <c:f>'6Vorf10'!$A$4</c:f>
              <c:strCache>
                <c:ptCount val="1"/>
                <c:pt idx="0">
                  <c:v>Tier 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'6Vorf10'!$B$2:$F$2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'6Vorf10'!$B$4:$F$4</c:f>
              <c:numCache>
                <c:formatCode>#,##0</c:formatCode>
                <c:ptCount val="5"/>
                <c:pt idx="0">
                  <c:v>56</c:v>
                </c:pt>
                <c:pt idx="1">
                  <c:v>68</c:v>
                </c:pt>
                <c:pt idx="2">
                  <c:v>51</c:v>
                </c:pt>
                <c:pt idx="3">
                  <c:v>69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3DB-4F77-983B-02A2857F268A}"/>
            </c:ext>
          </c:extLst>
        </c:ser>
        <c:ser>
          <c:idx val="2"/>
          <c:order val="2"/>
          <c:tx>
            <c:strRef>
              <c:f>'6Vorf10'!$A$5</c:f>
              <c:strCache>
                <c:ptCount val="1"/>
                <c:pt idx="0">
                  <c:v>sonstige Vorfälle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pPr>
              <a:solidFill>
                <a:srgbClr val="FFFF99"/>
              </a:solidFill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'6Vorf10'!$B$2:$F$2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'6Vorf10'!$B$5:$F$5</c:f>
              <c:numCache>
                <c:formatCode>#,##0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37</c:v>
                </c:pt>
                <c:pt idx="3">
                  <c:v>24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3DB-4F77-983B-02A2857F268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422848"/>
        <c:axId val="110897408"/>
      </c:lineChart>
      <c:catAx>
        <c:axId val="1094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89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9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422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Anzahl der gefährlichen Hunde nach § 3 Absatz 2 LHundG NRW</a:t>
            </a:r>
          </a:p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in den letzten 9 Jahren </a:t>
            </a:r>
          </a:p>
        </c:rich>
      </c:tx>
      <c:layout>
        <c:manualLayout>
          <c:xMode val="edge"/>
          <c:yMode val="edge"/>
          <c:x val="0.13675236108306973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9350125513582"/>
          <c:y val="0.27272773834909436"/>
          <c:w val="0.67948859735701572"/>
          <c:h val="0.51748340097007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'7Anz11'!$C$3:$I$3</c:f>
              <c:numCache>
                <c:formatCode>#,##0</c:formatCode>
                <c:ptCount val="5"/>
                <c:pt idx="0">
                  <c:v>361226</c:v>
                </c:pt>
                <c:pt idx="1">
                  <c:v>401068</c:v>
                </c:pt>
                <c:pt idx="2">
                  <c:v>409699</c:v>
                </c:pt>
                <c:pt idx="3">
                  <c:v>445502</c:v>
                </c:pt>
                <c:pt idx="4">
                  <c:v>462124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0-49EA-9E28-2CE3AD79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02016"/>
        <c:axId val="111703552"/>
      </c:barChart>
      <c:catAx>
        <c:axId val="1117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70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70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70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Anzahl der großen Hunde nach</a:t>
            </a:r>
          </a:p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§ 11 Absatz 1 LHundG NRW in den letzten 10 Jahren</a:t>
            </a:r>
          </a:p>
        </c:rich>
      </c:tx>
      <c:layout>
        <c:manualLayout>
          <c:xMode val="edge"/>
          <c:yMode val="edge"/>
          <c:x val="0.20458590824295109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2106037302341"/>
          <c:y val="0.16319499781289948"/>
          <c:w val="0.78836114617977393"/>
          <c:h val="0.64930775725557877"/>
        </c:manualLayout>
      </c:layout>
      <c:lineChart>
        <c:grouping val="stacked"/>
        <c:varyColors val="0"/>
        <c:ser>
          <c:idx val="0"/>
          <c:order val="0"/>
          <c:tx>
            <c:strRef>
              <c:f>'7Anz11'!$B$3</c:f>
              <c:strCache>
                <c:ptCount val="1"/>
                <c:pt idx="0">
                  <c:v>Anzahl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B2-489B-BE0D-403B3ADA7FD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B2-489B-BE0D-403B3ADA7FD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B2-489B-BE0D-403B3ADA7FD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B2-489B-BE0D-403B3ADA7FD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B2-489B-BE0D-403B3ADA7FD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2-489B-BE0D-403B3ADA7FD8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B2-489B-BE0D-403B3ADA7FD8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2-489B-BE0D-403B3ADA7FD8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B2-489B-BE0D-403B3ADA7FD8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2-489B-BE0D-403B3ADA7FD8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'7Anz11'!$K$2:$T$2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'7Anz11'!$K$3:$T$3</c:f>
              <c:numCache>
                <c:formatCode>#,##0</c:formatCode>
                <c:ptCount val="10"/>
                <c:pt idx="0">
                  <c:v>496366</c:v>
                </c:pt>
                <c:pt idx="1">
                  <c:v>485056</c:v>
                </c:pt>
                <c:pt idx="2">
                  <c:v>527811</c:v>
                </c:pt>
                <c:pt idx="3">
                  <c:v>538500</c:v>
                </c:pt>
                <c:pt idx="4">
                  <c:v>547956</c:v>
                </c:pt>
                <c:pt idx="5">
                  <c:v>555048</c:v>
                </c:pt>
                <c:pt idx="6">
                  <c:v>545587</c:v>
                </c:pt>
                <c:pt idx="7">
                  <c:v>565886</c:v>
                </c:pt>
                <c:pt idx="8">
                  <c:v>600461</c:v>
                </c:pt>
                <c:pt idx="9">
                  <c:v>590109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2B2-489B-BE0D-403B3ADA7FD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11360640"/>
        <c:axId val="111370624"/>
      </c:lineChart>
      <c:catAx>
        <c:axId val="1113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7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7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60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4311994457941832"/>
          <c:y val="0.61305555555555569"/>
          <c:w val="0.14820849066729114"/>
          <c:h val="7.10440361621463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Anzahl der nach § 11 Absatz 1 LHundG NRW gemeldeten Hunde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von 2018 bis 2022 in den Regierungsbezirken</a:t>
            </a:r>
          </a:p>
        </c:rich>
      </c:tx>
      <c:layout>
        <c:manualLayout>
          <c:xMode val="edge"/>
          <c:yMode val="edge"/>
          <c:x val="0.14280134338046455"/>
          <c:y val="2.830971128608923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5406824146982"/>
          <c:y val="0.15811207349081366"/>
          <c:w val="0.75579598145285931"/>
          <c:h val="0.74429389691668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'8Anz11BR'!$B$5</c:f>
              <c:strCache>
                <c:ptCount val="1"/>
                <c:pt idx="0">
                  <c:v> Arnsberg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4.8530162712847446E-3"/>
                  <c:y val="-2.81608317478828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D3-4B0F-B63E-5738C1DF566B}"/>
                </c:ext>
              </c:extLst>
            </c:dLbl>
            <c:dLbl>
              <c:idx val="3"/>
              <c:layout>
                <c:manualLayout>
                  <c:x val="-3.9436623664635995E-4"/>
                  <c:y val="8.8183421516754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D3-4B0F-B63E-5738C1DF56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'8Anz11BR'!$C$4:$G$4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'8Anz11BR'!$C$5:$G$5</c:f>
              <c:numCache>
                <c:formatCode>#,##0</c:formatCode>
                <c:ptCount val="5"/>
                <c:pt idx="0">
                  <c:v>108473</c:v>
                </c:pt>
                <c:pt idx="1">
                  <c:v>109221</c:v>
                </c:pt>
                <c:pt idx="2">
                  <c:v>109688</c:v>
                </c:pt>
                <c:pt idx="3">
                  <c:v>117784</c:v>
                </c:pt>
                <c:pt idx="4">
                  <c:v>119004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D3-4B0F-B63E-5738C1DF566B}"/>
            </c:ext>
          </c:extLst>
        </c:ser>
        <c:ser>
          <c:idx val="1"/>
          <c:order val="1"/>
          <c:tx>
            <c:strRef>
              <c:f>'8Anz11BR'!$B$6</c:f>
              <c:strCache>
                <c:ptCount val="1"/>
                <c:pt idx="0">
                  <c:v> Detmold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02784726127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D3-4B0F-B63E-5738C1DF566B}"/>
                </c:ext>
              </c:extLst>
            </c:dLbl>
            <c:dLbl>
              <c:idx val="1"/>
              <c:layout>
                <c:manualLayout>
                  <c:x val="-1.5568238668317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D3-4B0F-B63E-5738C1DF566B}"/>
                </c:ext>
              </c:extLst>
            </c:dLbl>
            <c:dLbl>
              <c:idx val="2"/>
              <c:layout>
                <c:manualLayout>
                  <c:x val="-1.24544079708211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D3-4B0F-B63E-5738C1DF566B}"/>
                </c:ext>
              </c:extLst>
            </c:dLbl>
            <c:dLbl>
              <c:idx val="3"/>
              <c:layout>
                <c:manualLayout>
                  <c:x val="-1.0675206832132373E-2"/>
                  <c:y val="-2.9394473838918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D3-4B0F-B63E-5738C1DF566B}"/>
                </c:ext>
              </c:extLst>
            </c:dLbl>
            <c:dLbl>
              <c:idx val="4"/>
              <c:layout>
                <c:manualLayout>
                  <c:x val="-1.0675206832132373E-2"/>
                  <c:y val="-2.9394473838918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D3-4B0F-B63E-5738C1DF56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'8Anz11BR'!$C$4:$G$4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'8Anz11BR'!$C$6:$G$6</c:f>
              <c:numCache>
                <c:formatCode>#,##0</c:formatCode>
                <c:ptCount val="5"/>
                <c:pt idx="0">
                  <c:v>71412</c:v>
                </c:pt>
                <c:pt idx="1">
                  <c:v>66937</c:v>
                </c:pt>
                <c:pt idx="2">
                  <c:v>72634</c:v>
                </c:pt>
                <c:pt idx="3">
                  <c:v>76434</c:v>
                </c:pt>
                <c:pt idx="4">
                  <c:v>79966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D3-4B0F-B63E-5738C1DF566B}"/>
            </c:ext>
          </c:extLst>
        </c:ser>
        <c:ser>
          <c:idx val="2"/>
          <c:order val="2"/>
          <c:tx>
            <c:strRef>
              <c:f>'8Anz11BR'!$B$7</c:f>
              <c:strCache>
                <c:ptCount val="1"/>
                <c:pt idx="0">
                  <c:v> D'dorf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2487455854236612E-2"/>
                  <c:y val="-5.837711617046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D3-4B0F-B63E-5738C1DF566B}"/>
                </c:ext>
              </c:extLst>
            </c:dLbl>
            <c:dLbl>
              <c:idx val="1"/>
              <c:layout>
                <c:manualLayout>
                  <c:x val="-9.8660078618456794E-3"/>
                  <c:y val="-4.8253177422784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D3-4B0F-B63E-5738C1DF566B}"/>
                </c:ext>
              </c:extLst>
            </c:dLbl>
            <c:dLbl>
              <c:idx val="3"/>
              <c:layout>
                <c:manualLayout>
                  <c:x val="-1.61817643090850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D3-4B0F-B63E-5738C1DF566B}"/>
                </c:ext>
              </c:extLst>
            </c:dLbl>
            <c:dLbl>
              <c:idx val="4"/>
              <c:layout>
                <c:manualLayout>
                  <c:x val="1.8355191589842302E-3"/>
                  <c:y val="7.5617862581992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D3-4B0F-B63E-5738C1DF56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'8Anz11BR'!$C$4:$G$4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'8Anz11BR'!$C$7:$G$7</c:f>
              <c:numCache>
                <c:formatCode>#,##0</c:formatCode>
                <c:ptCount val="5"/>
                <c:pt idx="0">
                  <c:v>149781</c:v>
                </c:pt>
                <c:pt idx="1">
                  <c:v>146321</c:v>
                </c:pt>
                <c:pt idx="2">
                  <c:v>153969</c:v>
                </c:pt>
                <c:pt idx="3">
                  <c:v>164938</c:v>
                </c:pt>
                <c:pt idx="4">
                  <c:v>144302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D3-4B0F-B63E-5738C1DF566B}"/>
            </c:ext>
          </c:extLst>
        </c:ser>
        <c:ser>
          <c:idx val="3"/>
          <c:order val="3"/>
          <c:tx>
            <c:strRef>
              <c:f>'8Anz11BR'!$B$8</c:f>
              <c:strCache>
                <c:ptCount val="1"/>
                <c:pt idx="0">
                  <c:v> Köln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105519287930797E-2"/>
                  <c:y val="-6.16499119746634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D3-4B0F-B63E-5738C1DF566B}"/>
                </c:ext>
              </c:extLst>
            </c:dLbl>
            <c:dLbl>
              <c:idx val="1"/>
              <c:layout>
                <c:manualLayout>
                  <c:x val="2.6184333666445514E-2"/>
                  <c:y val="-6.42148277875072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D3-4B0F-B63E-5738C1DF566B}"/>
                </c:ext>
              </c:extLst>
            </c:dLbl>
            <c:dLbl>
              <c:idx val="2"/>
              <c:layout>
                <c:manualLayout>
                  <c:x val="2.4934453249388661E-2"/>
                  <c:y val="-1.7095085336555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D3-4B0F-B63E-5738C1DF566B}"/>
                </c:ext>
              </c:extLst>
            </c:dLbl>
            <c:dLbl>
              <c:idx val="3"/>
              <c:layout>
                <c:manualLayout>
                  <c:x val="2.0051019692391762E-2"/>
                  <c:y val="-7.7283027887713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D3-4B0F-B63E-5738C1DF566B}"/>
                </c:ext>
              </c:extLst>
            </c:dLbl>
            <c:dLbl>
              <c:idx val="4"/>
              <c:layout>
                <c:manualLayout>
                  <c:x val="2.3638797249366E-2"/>
                  <c:y val="3.39299750403353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D3-4B0F-B63E-5738C1DF56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'8Anz11BR'!$C$4:$G$4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'8Anz11BR'!$C$8:$G$8</c:f>
              <c:numCache>
                <c:formatCode>#,##0</c:formatCode>
                <c:ptCount val="5"/>
                <c:pt idx="0">
                  <c:v>132313</c:v>
                </c:pt>
                <c:pt idx="1">
                  <c:v>128526</c:v>
                </c:pt>
                <c:pt idx="2">
                  <c:v>136564</c:v>
                </c:pt>
                <c:pt idx="3">
                  <c:v>149451</c:v>
                </c:pt>
                <c:pt idx="4">
                  <c:v>150318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D3-4B0F-B63E-5738C1DF566B}"/>
            </c:ext>
          </c:extLst>
        </c:ser>
        <c:ser>
          <c:idx val="4"/>
          <c:order val="4"/>
          <c:tx>
            <c:strRef>
              <c:f>'8Anz11BR'!$B$9</c:f>
              <c:strCache>
                <c:ptCount val="1"/>
                <c:pt idx="0">
                  <c:v>Münster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'8Anz11BR'!$C$4:$G$4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'8Anz11BR'!$C$9:$G$9</c:f>
              <c:numCache>
                <c:formatCode>#,##0</c:formatCode>
                <c:ptCount val="5"/>
                <c:pt idx="0">
                  <c:v>93069</c:v>
                </c:pt>
                <c:pt idx="1">
                  <c:v>94582</c:v>
                </c:pt>
                <c:pt idx="2">
                  <c:v>93031</c:v>
                </c:pt>
                <c:pt idx="3">
                  <c:v>91854</c:v>
                </c:pt>
                <c:pt idx="4">
                  <c:v>96519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D3-4B0F-B63E-5738C1DF5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06016"/>
        <c:axId val="111493120"/>
      </c:barChart>
      <c:catAx>
        <c:axId val="1116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9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606016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9072988216888"/>
          <c:y val="0.12715616131739876"/>
          <c:w val="9.5719167582684644E-2"/>
          <c:h val="0.250769148780260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Anzahl der Hunde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nach § 10 Abs. 1 LHundG NRW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den Jahren 2007 bis 2011</a:t>
            </a:r>
          </a:p>
        </c:rich>
      </c:tx>
      <c:layout>
        <c:manualLayout>
          <c:xMode val="edge"/>
          <c:yMode val="edge"/>
          <c:x val="0.27464843210388179"/>
          <c:y val="3.787878787878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5054685332961"/>
          <c:y val="0.3257587807720051"/>
          <c:w val="0.65023623238572936"/>
          <c:h val="0.51894131355540352"/>
        </c:manualLayout>
      </c:layout>
      <c:lineChart>
        <c:grouping val="standard"/>
        <c:varyColors val="0"/>
        <c:ser>
          <c:idx val="0"/>
          <c:order val="0"/>
          <c:tx>
            <c:strRef>
              <c:f>'8Anz11BR'!$B$62:$B$62</c:f>
              <c:strCache>
                <c:ptCount val="1"/>
                <c:pt idx="0">
                  <c:v>Anzahl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'8Anz11BR'!$D$61:$D$61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'8Anz11BR'!$D$62:$D$62</c:f>
              <c:numCache>
                <c:formatCode>#,##0</c:formatCode>
                <c:ptCount val="1"/>
                <c:pt idx="0">
                  <c:v>11530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9-4C8A-8E80-A6204F14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22176"/>
        <c:axId val="111523712"/>
      </c:lineChart>
      <c:catAx>
        <c:axId val="1115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52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52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20847394075746"/>
          <c:y val="0.54924441263023938"/>
          <c:w val="0.16901466264085407"/>
          <c:h val="7.57579734351387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Anzahl der gefährlichen Hunde nach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§ 3 Absatz 2 LHundG NRW in den letzten 20 Jahren</a:t>
            </a:r>
          </a:p>
        </c:rich>
      </c:tx>
      <c:layout>
        <c:manualLayout>
          <c:xMode val="edge"/>
          <c:yMode val="edge"/>
          <c:x val="0.29654309582379967"/>
          <c:y val="1.3930708661417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5793134838309"/>
          <c:y val="0.18010817700127946"/>
          <c:w val="0.80325724331502901"/>
          <c:h val="0.62903452863133424"/>
        </c:manualLayout>
      </c:layout>
      <c:lineChart>
        <c:grouping val="stacked"/>
        <c:varyColors val="0"/>
        <c:ser>
          <c:idx val="0"/>
          <c:order val="0"/>
          <c:tx>
            <c:strRef>
              <c:f>'1Anz3'!$B$3</c:f>
              <c:strCache>
                <c:ptCount val="1"/>
                <c:pt idx="0">
                  <c:v>Anzahl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942035320074657E-2"/>
                  <c:y val="-5.359980389512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7-4F70-9B87-C3B037FEC39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7-4F70-9B87-C3B037FEC39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57-4F70-9B87-C3B037FEC39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57-4F70-9B87-C3B037FEC39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857-4F70-9B87-C3B037FEC39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57-4F70-9B87-C3B037FEC39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857-4F70-9B87-C3B037FEC39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57-4F70-9B87-C3B037FEC39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857-4F70-9B87-C3B037FEC39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57-4F70-9B87-C3B037FEC39D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57-4F70-9B87-C3B037FEC39D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57-4F70-9B87-C3B037FEC39D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57-4F70-9B87-C3B037FEC39D}"/>
                </c:ext>
              </c:extLst>
            </c:dLbl>
            <c:dLbl>
              <c:idx val="17"/>
              <c:layout>
                <c:manualLayout>
                  <c:x val="-3.931389044229136E-2"/>
                  <c:y val="5.0764634513151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0-4DF5-80A1-FD7FB4527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'1Anz3'!$C$2:$V$2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'1Anz3'!$C$3:$V$3</c:f>
              <c:numCache>
                <c:formatCode>#,##0</c:formatCode>
                <c:ptCount val="20"/>
                <c:pt idx="0">
                  <c:v>11235</c:v>
                </c:pt>
                <c:pt idx="1">
                  <c:v>11097</c:v>
                </c:pt>
                <c:pt idx="2">
                  <c:v>10721</c:v>
                </c:pt>
                <c:pt idx="3">
                  <c:v>12431</c:v>
                </c:pt>
                <c:pt idx="4">
                  <c:v>12023</c:v>
                </c:pt>
                <c:pt idx="5">
                  <c:v>11927</c:v>
                </c:pt>
                <c:pt idx="6">
                  <c:v>10202</c:v>
                </c:pt>
                <c:pt idx="7">
                  <c:v>10063</c:v>
                </c:pt>
                <c:pt idx="8">
                  <c:v>9346</c:v>
                </c:pt>
                <c:pt idx="9">
                  <c:v>8583</c:v>
                </c:pt>
                <c:pt idx="10">
                  <c:v>8015</c:v>
                </c:pt>
                <c:pt idx="11">
                  <c:v>7252</c:v>
                </c:pt>
                <c:pt idx="12">
                  <c:v>7289</c:v>
                </c:pt>
                <c:pt idx="13">
                  <c:v>7377</c:v>
                </c:pt>
                <c:pt idx="14">
                  <c:v>7311</c:v>
                </c:pt>
                <c:pt idx="15">
                  <c:v>6617</c:v>
                </c:pt>
                <c:pt idx="16">
                  <c:v>6225</c:v>
                </c:pt>
                <c:pt idx="17">
                  <c:v>6463</c:v>
                </c:pt>
                <c:pt idx="18">
                  <c:v>6508</c:v>
                </c:pt>
                <c:pt idx="19">
                  <c:v>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857-4F70-9B87-C3B037FEC3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99181312"/>
        <c:axId val="99182848"/>
      </c:lineChart>
      <c:catAx>
        <c:axId val="991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18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8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181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56921145726354"/>
          <c:y val="0.63798071057850847"/>
          <c:w val="0.110113473196478"/>
          <c:h val="7.18985126859142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Anzahl der nach § 3 Absatz 2 LHundG gemeldeten gefährlichen Hunde</a:t>
            </a:r>
          </a:p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im Land NRW</a:t>
            </a:r>
          </a:p>
        </c:rich>
      </c:tx>
      <c:layout>
        <c:manualLayout>
          <c:xMode val="edge"/>
          <c:yMode val="edge"/>
          <c:x val="0.16017969540641275"/>
          <c:y val="2.267002518891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79125931406229E-2"/>
          <c:y val="0.14105806049887906"/>
          <c:w val="0.68581697757578963"/>
          <c:h val="0.74811175135753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'2Anz3BR'!$E$5</c:f>
              <c:strCache>
                <c:ptCount val="1"/>
                <c:pt idx="0">
                  <c:v>Bezirksregierung Arnsberg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'2Anz3BR'!$F$4:$J$4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'2Anz3BR'!$F$5:$J$5</c:f>
              <c:numCache>
                <c:formatCode>#,##0</c:formatCode>
                <c:ptCount val="5"/>
                <c:pt idx="0">
                  <c:v>1489</c:v>
                </c:pt>
                <c:pt idx="1">
                  <c:v>1449</c:v>
                </c:pt>
                <c:pt idx="2">
                  <c:v>1369</c:v>
                </c:pt>
                <c:pt idx="3">
                  <c:v>1447</c:v>
                </c:pt>
                <c:pt idx="4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1-4C98-BA8C-CD8FB310D26F}"/>
            </c:ext>
          </c:extLst>
        </c:ser>
        <c:ser>
          <c:idx val="1"/>
          <c:order val="1"/>
          <c:tx>
            <c:strRef>
              <c:f>'2Anz3BR'!$E$6</c:f>
              <c:strCache>
                <c:ptCount val="1"/>
                <c:pt idx="0">
                  <c:v>Bezirksregierung Detmold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'2Anz3BR'!$F$4:$J$4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'2Anz3BR'!$F$6:$J$6</c:f>
              <c:numCache>
                <c:formatCode>#,##0</c:formatCode>
                <c:ptCount val="5"/>
                <c:pt idx="0">
                  <c:v>517</c:v>
                </c:pt>
                <c:pt idx="1">
                  <c:v>538</c:v>
                </c:pt>
                <c:pt idx="2">
                  <c:v>570</c:v>
                </c:pt>
                <c:pt idx="3">
                  <c:v>572</c:v>
                </c:pt>
                <c:pt idx="4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1-4C98-BA8C-CD8FB310D26F}"/>
            </c:ext>
          </c:extLst>
        </c:ser>
        <c:ser>
          <c:idx val="2"/>
          <c:order val="2"/>
          <c:tx>
            <c:strRef>
              <c:f>'2Anz3BR'!$E$7</c:f>
              <c:strCache>
                <c:ptCount val="1"/>
                <c:pt idx="0">
                  <c:v>Bezirksregierung Düsseldorf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5.56792873051224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11-4C98-BA8C-CD8FB310D26F}"/>
                </c:ext>
              </c:extLst>
            </c:dLbl>
            <c:dLbl>
              <c:idx val="3"/>
              <c:layout>
                <c:manualLayout>
                  <c:x val="-1.8559762435040831E-3"/>
                  <c:y val="-3.9463224607862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1-4C98-BA8C-CD8FB310D26F}"/>
                </c:ext>
              </c:extLst>
            </c:dLbl>
            <c:dLbl>
              <c:idx val="4"/>
              <c:layout>
                <c:manualLayout>
                  <c:x val="0"/>
                  <c:y val="-2.592772646248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11-4C98-BA8C-CD8FB310D26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'2Anz3BR'!$F$4:$J$4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'2Anz3BR'!$F$7:$J$7</c:f>
              <c:numCache>
                <c:formatCode>#,##0</c:formatCode>
                <c:ptCount val="5"/>
                <c:pt idx="0">
                  <c:v>2159</c:v>
                </c:pt>
                <c:pt idx="1">
                  <c:v>1839</c:v>
                </c:pt>
                <c:pt idx="2">
                  <c:v>1977</c:v>
                </c:pt>
                <c:pt idx="3">
                  <c:v>1982</c:v>
                </c:pt>
                <c:pt idx="4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11-4C98-BA8C-CD8FB310D26F}"/>
            </c:ext>
          </c:extLst>
        </c:ser>
        <c:ser>
          <c:idx val="3"/>
          <c:order val="3"/>
          <c:tx>
            <c:strRef>
              <c:f>'2Anz3BR'!$E$8</c:f>
              <c:strCache>
                <c:ptCount val="1"/>
                <c:pt idx="0">
                  <c:v>Bezirksregierung Köln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865159672412884E-2"/>
                  <c:y val="-3.2223366342697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11-4C98-BA8C-CD8FB310D26F}"/>
                </c:ext>
              </c:extLst>
            </c:dLbl>
            <c:dLbl>
              <c:idx val="1"/>
              <c:layout>
                <c:manualLayout>
                  <c:x val="8.4661744676124834E-3"/>
                  <c:y val="-2.6126777905800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11-4C98-BA8C-CD8FB310D26F}"/>
                </c:ext>
              </c:extLst>
            </c:dLbl>
            <c:dLbl>
              <c:idx val="2"/>
              <c:layout>
                <c:manualLayout>
                  <c:x val="2.1636737222991892E-2"/>
                  <c:y val="-4.9806243835466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11-4C98-BA8C-CD8FB310D26F}"/>
                </c:ext>
              </c:extLst>
            </c:dLbl>
            <c:dLbl>
              <c:idx val="3"/>
              <c:layout>
                <c:manualLayout>
                  <c:x val="2.1097481133343855E-2"/>
                  <c:y val="-2.5811868314710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11-4C98-BA8C-CD8FB310D26F}"/>
                </c:ext>
              </c:extLst>
            </c:dLbl>
            <c:dLbl>
              <c:idx val="4"/>
              <c:layout>
                <c:manualLayout>
                  <c:x val="1.8936072578900912E-2"/>
                  <c:y val="-1.0461939705276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11-4C98-BA8C-CD8FB310D26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'2Anz3BR'!$F$4:$J$4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'2Anz3BR'!$F$8:$J$8</c:f>
              <c:numCache>
                <c:formatCode>#,##0</c:formatCode>
                <c:ptCount val="5"/>
                <c:pt idx="0">
                  <c:v>1723</c:v>
                </c:pt>
                <c:pt idx="1">
                  <c:v>1686</c:v>
                </c:pt>
                <c:pt idx="2">
                  <c:v>1882</c:v>
                </c:pt>
                <c:pt idx="3">
                  <c:v>1824</c:v>
                </c:pt>
                <c:pt idx="4">
                  <c:v>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11-4C98-BA8C-CD8FB310D26F}"/>
            </c:ext>
          </c:extLst>
        </c:ser>
        <c:ser>
          <c:idx val="4"/>
          <c:order val="4"/>
          <c:tx>
            <c:strRef>
              <c:f>'2Anz3BR'!$E$9</c:f>
              <c:strCache>
                <c:ptCount val="1"/>
                <c:pt idx="0">
                  <c:v>Bezirksregierung Münster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0378619153675E-2"/>
                  <c:y val="-3.2409658078107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11-4C98-BA8C-CD8FB310D26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'2Anz3BR'!$F$4:$J$4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'2Anz3BR'!$F$9:$J$9</c:f>
              <c:numCache>
                <c:formatCode>#,##0</c:formatCode>
                <c:ptCount val="5"/>
                <c:pt idx="0">
                  <c:v>729</c:v>
                </c:pt>
                <c:pt idx="1">
                  <c:v>713</c:v>
                </c:pt>
                <c:pt idx="2">
                  <c:v>665</c:v>
                </c:pt>
                <c:pt idx="3">
                  <c:v>683</c:v>
                </c:pt>
                <c:pt idx="4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11-4C98-BA8C-CD8FB310D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93632"/>
        <c:axId val="99895168"/>
      </c:barChart>
      <c:catAx>
        <c:axId val="998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89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9893632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79698074653420004"/>
          <c:y val="0.1536865986063847"/>
          <c:w val="0.19784896737573729"/>
          <c:h val="0.25847723093922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Anzahl der nach § 3 Abs. 2 LHundG gemeldeten  Hunde im Land NRW</a:t>
            </a:r>
          </a:p>
        </c:rich>
      </c:tx>
      <c:layout>
        <c:manualLayout>
          <c:xMode val="edge"/>
          <c:yMode val="edge"/>
          <c:x val="0.14379479457498093"/>
          <c:y val="8.3670715249662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2098188721744"/>
          <c:y val="0.28744996095719128"/>
          <c:w val="0.52554869399305715"/>
          <c:h val="0.54655978491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'2Anz3BR'!$E$5</c:f>
              <c:strCache>
                <c:ptCount val="1"/>
                <c:pt idx="0">
                  <c:v>Bezirksregierung Arnsberg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'2Anz3BR'!$J$4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'2Anz3BR'!$J$5</c:f>
              <c:numCache>
                <c:formatCode>#,##0</c:formatCode>
                <c:ptCount val="1"/>
                <c:pt idx="0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F-468E-8D62-799ACDA3AAAD}"/>
            </c:ext>
          </c:extLst>
        </c:ser>
        <c:ser>
          <c:idx val="1"/>
          <c:order val="1"/>
          <c:tx>
            <c:strRef>
              <c:f>'2Anz3BR'!$E$6</c:f>
              <c:strCache>
                <c:ptCount val="1"/>
                <c:pt idx="0">
                  <c:v>Bezirksregierung Detmold</c:v>
                </c:pt>
              </c:strCache>
            </c:strRef>
          </c:tx>
          <c:invertIfNegative val="0"/>
          <c:cat>
            <c:numRef>
              <c:f>'2Anz3BR'!$J$4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'2Anz3BR'!$J$6</c:f>
              <c:numCache>
                <c:formatCode>#,##0</c:formatCode>
                <c:ptCount val="1"/>
                <c:pt idx="0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F-468E-8D62-799ACDA3AAAD}"/>
            </c:ext>
          </c:extLst>
        </c:ser>
        <c:ser>
          <c:idx val="2"/>
          <c:order val="2"/>
          <c:tx>
            <c:strRef>
              <c:f>'2Anz3BR'!$E$7</c:f>
              <c:strCache>
                <c:ptCount val="1"/>
                <c:pt idx="0">
                  <c:v>Bezirksregierung Düsseldorf</c:v>
                </c:pt>
              </c:strCache>
            </c:strRef>
          </c:tx>
          <c:invertIfNegative val="0"/>
          <c:cat>
            <c:numRef>
              <c:f>'2Anz3BR'!$J$4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'2Anz3BR'!$J$7</c:f>
              <c:numCache>
                <c:formatCode>#,##0</c:formatCode>
                <c:ptCount val="1"/>
                <c:pt idx="0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F-468E-8D62-799ACDA3AAAD}"/>
            </c:ext>
          </c:extLst>
        </c:ser>
        <c:ser>
          <c:idx val="3"/>
          <c:order val="3"/>
          <c:tx>
            <c:strRef>
              <c:f>'2Anz3BR'!$E$8</c:f>
              <c:strCache>
                <c:ptCount val="1"/>
                <c:pt idx="0">
                  <c:v>Bezirksregierung Köln</c:v>
                </c:pt>
              </c:strCache>
            </c:strRef>
          </c:tx>
          <c:invertIfNegative val="0"/>
          <c:cat>
            <c:numRef>
              <c:f>'2Anz3BR'!$J$4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'2Anz3BR'!$J$8</c:f>
              <c:numCache>
                <c:formatCode>#,##0</c:formatCode>
                <c:ptCount val="1"/>
                <c:pt idx="0">
                  <c:v>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FF-468E-8D62-799ACDA3AAAD}"/>
            </c:ext>
          </c:extLst>
        </c:ser>
        <c:ser>
          <c:idx val="4"/>
          <c:order val="4"/>
          <c:tx>
            <c:strRef>
              <c:f>'2Anz3BR'!$E$9</c:f>
              <c:strCache>
                <c:ptCount val="1"/>
                <c:pt idx="0">
                  <c:v>Bezirksregierung Münster</c:v>
                </c:pt>
              </c:strCache>
            </c:strRef>
          </c:tx>
          <c:invertIfNegative val="0"/>
          <c:cat>
            <c:numRef>
              <c:f>'2Anz3BR'!$J$4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'2Anz3BR'!$J$9</c:f>
              <c:numCache>
                <c:formatCode>#,##0</c:formatCode>
                <c:ptCount val="1"/>
                <c:pt idx="0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FF-468E-8D62-799ACDA3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04416"/>
        <c:axId val="101005952"/>
      </c:barChart>
      <c:catAx>
        <c:axId val="1010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00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05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004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883385094791437"/>
          <c:y val="0.27530406877277991"/>
          <c:w val="0.32116600469189138"/>
          <c:h val="0.564888903057158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Vorfälle mit Hunden nach § 3 Absatz 2 LHundG NRW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den Jahren 2018 - 2022 nach absoluten Zahlen </a:t>
            </a:r>
          </a:p>
        </c:rich>
      </c:tx>
      <c:layout>
        <c:manualLayout>
          <c:xMode val="edge"/>
          <c:yMode val="edge"/>
          <c:x val="0.14669062485262693"/>
          <c:y val="2.577841035176725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765486501126"/>
          <c:y val="0.17349463970064966"/>
          <c:w val="0.79129033503165036"/>
          <c:h val="0.62537856604419317"/>
        </c:manualLayout>
      </c:layout>
      <c:lineChart>
        <c:grouping val="standard"/>
        <c:varyColors val="0"/>
        <c:ser>
          <c:idx val="0"/>
          <c:order val="0"/>
          <c:tx>
            <c:strRef>
              <c:f>'3Vorfälle§3'!$A$3</c:f>
              <c:strCache>
                <c:ptCount val="1"/>
                <c:pt idx="0">
                  <c:v>Mensch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'3Vorfälle§3'!$B$2:$F$2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'3Vorfälle§3'!$B$3:$F$3</c:f>
              <c:numCache>
                <c:formatCode>#,##0</c:formatCode>
                <c:ptCount val="5"/>
                <c:pt idx="0">
                  <c:v>33</c:v>
                </c:pt>
                <c:pt idx="1">
                  <c:v>20</c:v>
                </c:pt>
                <c:pt idx="2">
                  <c:v>15</c:v>
                </c:pt>
                <c:pt idx="3">
                  <c:v>32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B-453E-9B16-19316DC87390}"/>
            </c:ext>
          </c:extLst>
        </c:ser>
        <c:ser>
          <c:idx val="1"/>
          <c:order val="1"/>
          <c:tx>
            <c:strRef>
              <c:f>'3Vorfälle§3'!$A$4</c:f>
              <c:strCache>
                <c:ptCount val="1"/>
                <c:pt idx="0">
                  <c:v> Tier 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BB-453E-9B16-19316DC8739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BB-453E-9B16-19316DC8739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BB-453E-9B16-19316DC8739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BB-453E-9B16-19316DC8739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BB-453E-9B16-19316DC87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'3Vorfälle§3'!$B$2:$F$2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'3Vorfälle§3'!$B$4:$F$4</c:f>
              <c:numCache>
                <c:formatCode>#,##0</c:formatCode>
                <c:ptCount val="5"/>
                <c:pt idx="0">
                  <c:v>53</c:v>
                </c:pt>
                <c:pt idx="1">
                  <c:v>51</c:v>
                </c:pt>
                <c:pt idx="2">
                  <c:v>45</c:v>
                </c:pt>
                <c:pt idx="3">
                  <c:v>54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BB-453E-9B16-19316DC87390}"/>
            </c:ext>
          </c:extLst>
        </c:ser>
        <c:ser>
          <c:idx val="2"/>
          <c:order val="2"/>
          <c:tx>
            <c:strRef>
              <c:f>'3Vorfälle§3'!$A$5</c:f>
              <c:strCache>
                <c:ptCount val="1"/>
                <c:pt idx="0">
                  <c:v>sonstige Vorfälle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BB-453E-9B16-19316DC87390}"/>
                </c:ext>
              </c:extLst>
            </c:dLbl>
            <c:dLbl>
              <c:idx val="1"/>
              <c:layout>
                <c:manualLayout>
                  <c:x val="-2.9411764705882353E-2"/>
                  <c:y val="1.94363459669582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BB-453E-9B16-19316DC8739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BB-453E-9B16-19316DC8739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BB-453E-9B16-19316DC8739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BB-453E-9B16-19316DC87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'3Vorfälle§3'!$B$2:$F$2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'3Vorfälle§3'!$B$5:$F$5</c:f>
              <c:numCache>
                <c:formatCode>General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41</c:v>
                </c:pt>
                <c:pt idx="3">
                  <c:v>28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3BB-453E-9B16-19316DC8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75392"/>
        <c:axId val="109289472"/>
      </c:lineChart>
      <c:catAx>
        <c:axId val="1092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2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8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27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Entwicklung der Anzahl der gefährlichen Hunde nach § 3 Absatz 2 LHundG NRW
 in den letzten 9 Jahren </a:t>
            </a:r>
          </a:p>
        </c:rich>
      </c:tx>
      <c:layout>
        <c:manualLayout>
          <c:xMode val="edge"/>
          <c:yMode val="edge"/>
          <c:x val="0.13675242210958807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43620508689964"/>
          <c:y val="0.27272773834909436"/>
          <c:w val="0.69444589352525188"/>
          <c:h val="0.51748340097007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val>
            <c:numRef>
              <c:f>'4Anz10'!$C$3:$K$3</c:f>
              <c:numCache>
                <c:formatCode>#,##0</c:formatCode>
                <c:ptCount val="9"/>
                <c:pt idx="0">
                  <c:v>11864</c:v>
                </c:pt>
                <c:pt idx="1">
                  <c:v>11956</c:v>
                </c:pt>
                <c:pt idx="2">
                  <c:v>11536</c:v>
                </c:pt>
                <c:pt idx="3">
                  <c:v>12389</c:v>
                </c:pt>
                <c:pt idx="4">
                  <c:v>12049</c:v>
                </c:pt>
                <c:pt idx="5">
                  <c:v>12106</c:v>
                </c:pt>
                <c:pt idx="6">
                  <c:v>11886</c:v>
                </c:pt>
                <c:pt idx="7">
                  <c:v>11597</c:v>
                </c:pt>
                <c:pt idx="8">
                  <c:v>11094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4-46B3-80BA-61A1C090736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axId val="108803200"/>
        <c:axId val="108804736"/>
      </c:barChart>
      <c:catAx>
        <c:axId val="10880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80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8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803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Entwicklung der Anzahl der</a:t>
            </a:r>
            <a:r>
              <a:rPr lang="de-DE" baseline="0"/>
              <a:t> </a:t>
            </a:r>
            <a:r>
              <a:rPr lang="de-DE"/>
              <a:t>Hunde nach
 §10 Absatz 1 LHundG NRW in den letzten 20 Jahren</a:t>
            </a:r>
          </a:p>
        </c:rich>
      </c:tx>
      <c:layout>
        <c:manualLayout>
          <c:xMode val="edge"/>
          <c:yMode val="edge"/>
          <c:x val="0.19929487587989811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1168862931381"/>
          <c:y val="0.16319499781289948"/>
          <c:w val="0.80247051792348356"/>
          <c:h val="0.64930775725557877"/>
        </c:manualLayout>
      </c:layout>
      <c:lineChart>
        <c:grouping val="stacked"/>
        <c:varyColors val="0"/>
        <c:ser>
          <c:idx val="0"/>
          <c:order val="0"/>
          <c:tx>
            <c:strRef>
              <c:f>'4Anz10'!$B$3</c:f>
              <c:strCache>
                <c:ptCount val="1"/>
                <c:pt idx="0">
                  <c:v>Anzahl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408301507221794E-2"/>
                  <c:y val="-5.47696827152804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5F-48FA-8BCF-AF5121D59E7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5F-48FA-8BCF-AF5121D59E7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F5F-48FA-8BCF-AF5121D59E7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5F-48FA-8BCF-AF5121D59E7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F5F-48FA-8BCF-AF5121D59E7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5F-48FA-8BCF-AF5121D59E7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F5F-48FA-8BCF-AF5121D59E7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5F-48FA-8BCF-AF5121D59E7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F5F-48FA-8BCF-AF5121D59E7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5F-48FA-8BCF-AF5121D59E73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 algn="ctr" rtl="0">
                    <a:defRPr lang="de-DE"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F5F-48FA-8BCF-AF5121D59E73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 algn="ctr" rtl="0">
                    <a:defRPr lang="de-DE"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5F-48FA-8BCF-AF5121D59E73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5F-48FA-8BCF-AF5121D59E73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5F-48FA-8BCF-AF5121D59E73}"/>
                </c:ext>
              </c:extLst>
            </c:dLbl>
            <c:dLbl>
              <c:idx val="17"/>
              <c:layout>
                <c:manualLayout>
                  <c:x val="-4.1370718794074189E-2"/>
                  <c:y val="3.4215322412580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A-40AE-BB86-B252789C9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'4Anz10'!$C$2:$V$2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'4Anz10'!$C$3:$V$3</c:f>
              <c:numCache>
                <c:formatCode>#,##0</c:formatCode>
                <c:ptCount val="20"/>
                <c:pt idx="0">
                  <c:v>11864</c:v>
                </c:pt>
                <c:pt idx="1">
                  <c:v>11956</c:v>
                </c:pt>
                <c:pt idx="2">
                  <c:v>11536</c:v>
                </c:pt>
                <c:pt idx="3">
                  <c:v>12389</c:v>
                </c:pt>
                <c:pt idx="4">
                  <c:v>12049</c:v>
                </c:pt>
                <c:pt idx="5">
                  <c:v>12106</c:v>
                </c:pt>
                <c:pt idx="6">
                  <c:v>11886</c:v>
                </c:pt>
                <c:pt idx="7">
                  <c:v>11597</c:v>
                </c:pt>
                <c:pt idx="8">
                  <c:v>11094</c:v>
                </c:pt>
                <c:pt idx="9">
                  <c:v>10465</c:v>
                </c:pt>
                <c:pt idx="10">
                  <c:v>10145</c:v>
                </c:pt>
                <c:pt idx="11">
                  <c:v>9389</c:v>
                </c:pt>
                <c:pt idx="12">
                  <c:v>9591</c:v>
                </c:pt>
                <c:pt idx="13">
                  <c:v>9627</c:v>
                </c:pt>
                <c:pt idx="14">
                  <c:v>9873</c:v>
                </c:pt>
                <c:pt idx="15">
                  <c:v>9432</c:v>
                </c:pt>
                <c:pt idx="16">
                  <c:v>9005</c:v>
                </c:pt>
                <c:pt idx="17">
                  <c:v>9096</c:v>
                </c:pt>
                <c:pt idx="18">
                  <c:v>9079</c:v>
                </c:pt>
                <c:pt idx="19">
                  <c:v>8860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F5F-48FA-8BCF-AF5121D59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08853120"/>
        <c:axId val="108854656"/>
      </c:lineChart>
      <c:catAx>
        <c:axId val="1088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8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5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853120"/>
        <c:crosses val="autoZero"/>
        <c:crossBetween val="between"/>
        <c:min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420360190825206"/>
          <c:y val="0.53703776611256926"/>
          <c:w val="0.13933004596913232"/>
          <c:h val="0.118055955864650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Registrierte Hunde in 2022</a:t>
            </a:r>
          </a:p>
        </c:rich>
      </c:tx>
      <c:layout>
        <c:manualLayout>
          <c:xMode val="edge"/>
          <c:yMode val="edge"/>
          <c:x val="0.298828125"/>
          <c:y val="8.86524822695035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90625"/>
          <c:y val="0.11170232107145021"/>
          <c:w val="0.681640625"/>
          <c:h val="0.61879539768152581"/>
        </c:manualLayout>
      </c:layout>
      <c:pieChart>
        <c:varyColors val="1"/>
        <c:ser>
          <c:idx val="0"/>
          <c:order val="0"/>
          <c:tx>
            <c:strRef>
              <c:f>'9Grafik'!$C$4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5B-424B-82DB-1A44DF82BD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5B-424B-82DB-1A44DF82BD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5B-424B-82DB-1A44DF82BD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5B-424B-82DB-1A44DF82BDB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95B-424B-82DB-1A44DF82BDB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95B-424B-82DB-1A44DF82BDB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95B-424B-82DB-1A44DF82BDB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95B-424B-82DB-1A44DF82BDB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95B-424B-82DB-1A44DF82BDB3}"/>
              </c:ext>
            </c:extLst>
          </c:dPt>
          <c:dLbls>
            <c:dLbl>
              <c:idx val="0"/>
              <c:layout>
                <c:manualLayout>
                  <c:x val="-5.6198941929133835E-2"/>
                  <c:y val="1.714340802061960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5B-424B-82DB-1A44DF82BDB3}"/>
                </c:ext>
              </c:extLst>
            </c:dLbl>
            <c:dLbl>
              <c:idx val="1"/>
              <c:layout>
                <c:manualLayout>
                  <c:x val="8.32902723097112E-3"/>
                  <c:y val="-5.477269457896129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5B-424B-82DB-1A44DF82BDB3}"/>
                </c:ext>
              </c:extLst>
            </c:dLbl>
            <c:dLbl>
              <c:idx val="2"/>
              <c:layout>
                <c:manualLayout>
                  <c:x val="4.9753320308645627E-2"/>
                  <c:y val="-4.182753934451166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05774278215223"/>
                      <c:h val="4.67382236569462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95B-424B-82DB-1A44DF82BDB3}"/>
                </c:ext>
              </c:extLst>
            </c:dLbl>
            <c:dLbl>
              <c:idx val="3"/>
              <c:layout>
                <c:manualLayout>
                  <c:x val="0.16515067195547925"/>
                  <c:y val="-5.13483207632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10786809543545"/>
                      <c:h val="3.93875352389301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95B-424B-82DB-1A44DF82BDB3}"/>
                </c:ext>
              </c:extLst>
            </c:dLbl>
            <c:dLbl>
              <c:idx val="5"/>
              <c:layout>
                <c:manualLayout>
                  <c:x val="1.1467421938211696E-2"/>
                  <c:y val="1.16621518342607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5214019300219"/>
                      <c:h val="4.67382236569462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95B-424B-82DB-1A44DF82BDB3}"/>
                </c:ext>
              </c:extLst>
            </c:dLbl>
            <c:dLbl>
              <c:idx val="6"/>
              <c:layout>
                <c:manualLayout>
                  <c:x val="0.10737611745900183"/>
                  <c:y val="5.35706981880649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5B-424B-82DB-1A44DF82BDB3}"/>
                </c:ext>
              </c:extLst>
            </c:dLbl>
            <c:dLbl>
              <c:idx val="7"/>
              <c:layout>
                <c:manualLayout>
                  <c:x val="5.5945382781350708E-2"/>
                  <c:y val="-4.84056016970481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5B-424B-82DB-1A44DF82BDB3}"/>
                </c:ext>
              </c:extLst>
            </c:dLbl>
            <c:dLbl>
              <c:idx val="8"/>
              <c:layout>
                <c:manualLayout>
                  <c:x val="2.1914629092416073E-2"/>
                  <c:y val="-0.10493291001599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23819390997175"/>
                      <c:h val="4.42879941842742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E95B-424B-82DB-1A44DF82BDB3}"/>
                </c:ext>
              </c:extLst>
            </c:dLbl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'9Grafik'!$B$5:$B$13</c:f>
              <c:strCache>
                <c:ptCount val="9"/>
                <c:pt idx="0">
                  <c:v>§ 3 Absatz 2 Hunde </c:v>
                </c:pt>
                <c:pt idx="1">
                  <c:v>§ 10 Absatz 1 Hunde</c:v>
                </c:pt>
                <c:pt idx="2">
                  <c:v>Schäferhund</c:v>
                </c:pt>
                <c:pt idx="3">
                  <c:v>Schäferhund-MIx</c:v>
                </c:pt>
                <c:pt idx="4">
                  <c:v>Golden Retriever</c:v>
                </c:pt>
                <c:pt idx="5">
                  <c:v>Dobermann</c:v>
                </c:pt>
                <c:pt idx="6">
                  <c:v>Berner Sennenhund</c:v>
                </c:pt>
                <c:pt idx="7">
                  <c:v>alle anderen große Hunde nach § 11 Absatz 1</c:v>
                </c:pt>
                <c:pt idx="8">
                  <c:v>alle kleinen Hunde</c:v>
                </c:pt>
              </c:strCache>
            </c:strRef>
          </c:cat>
          <c:val>
            <c:numRef>
              <c:f>'9Grafik'!$C$5:$C$13</c:f>
              <c:numCache>
                <c:formatCode>#,##0</c:formatCode>
                <c:ptCount val="9"/>
                <c:pt idx="0">
                  <c:v>6175</c:v>
                </c:pt>
                <c:pt idx="1">
                  <c:v>8860</c:v>
                </c:pt>
                <c:pt idx="2">
                  <c:v>40121</c:v>
                </c:pt>
                <c:pt idx="3">
                  <c:v>32541</c:v>
                </c:pt>
                <c:pt idx="4">
                  <c:v>30220</c:v>
                </c:pt>
                <c:pt idx="5">
                  <c:v>5642</c:v>
                </c:pt>
                <c:pt idx="6">
                  <c:v>13719</c:v>
                </c:pt>
                <c:pt idx="7">
                  <c:v>467866</c:v>
                </c:pt>
                <c:pt idx="8">
                  <c:v>371397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5B-424B-82DB-1A44DF82B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59375"/>
          <c:y val="0.74113605480166045"/>
          <c:w val="0.626953125"/>
          <c:h val="0.22340462761303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Anzahl der nach § 10 Absatz 1 LHundG NRW gemeldeten Hunde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von 2018 bis 2022</a:t>
            </a:r>
          </a:p>
        </c:rich>
      </c:tx>
      <c:layout>
        <c:manualLayout>
          <c:xMode val="edge"/>
          <c:yMode val="edge"/>
          <c:x val="0.11472880484811181"/>
          <c:y val="2.5340473452959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62807598727591"/>
          <c:y val="0.15659989469705743"/>
          <c:w val="0.72080647670600084"/>
          <c:h val="0.73154522237053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'5Anz10BR'!$B$5</c:f>
              <c:strCache>
                <c:ptCount val="1"/>
                <c:pt idx="0">
                  <c:v>Bezirksregierung Arnsberg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'5Anz10BR'!$C$4:$G$4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'5Anz10BR'!$C$5:$G$5</c:f>
              <c:numCache>
                <c:formatCode>#,##0</c:formatCode>
                <c:ptCount val="5"/>
                <c:pt idx="0">
                  <c:v>1855</c:v>
                </c:pt>
                <c:pt idx="1">
                  <c:v>1782</c:v>
                </c:pt>
                <c:pt idx="2">
                  <c:v>1772</c:v>
                </c:pt>
                <c:pt idx="3">
                  <c:v>1706</c:v>
                </c:pt>
                <c:pt idx="4">
                  <c:v>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2-4E20-AE76-AF31A4588F74}"/>
            </c:ext>
          </c:extLst>
        </c:ser>
        <c:ser>
          <c:idx val="1"/>
          <c:order val="1"/>
          <c:tx>
            <c:strRef>
              <c:f>'5Anz10BR'!$B$6</c:f>
              <c:strCache>
                <c:ptCount val="1"/>
                <c:pt idx="0">
                  <c:v>Bezirksregierung Detmold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'5Anz10BR'!$C$4:$G$4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'5Anz10BR'!$C$6:$G$6</c:f>
              <c:numCache>
                <c:formatCode>#,##0</c:formatCode>
                <c:ptCount val="5"/>
                <c:pt idx="0">
                  <c:v>793</c:v>
                </c:pt>
                <c:pt idx="1">
                  <c:v>751</c:v>
                </c:pt>
                <c:pt idx="2">
                  <c:v>776</c:v>
                </c:pt>
                <c:pt idx="3">
                  <c:v>748</c:v>
                </c:pt>
                <c:pt idx="4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2-4E20-AE76-AF31A4588F74}"/>
            </c:ext>
          </c:extLst>
        </c:ser>
        <c:ser>
          <c:idx val="2"/>
          <c:order val="2"/>
          <c:tx>
            <c:strRef>
              <c:f>'5Anz10BR'!$B$7</c:f>
              <c:strCache>
                <c:ptCount val="1"/>
                <c:pt idx="0">
                  <c:v>Bezirksregierung Düsseldorf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21550820856099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E2-4E20-AE76-AF31A4588F74}"/>
                </c:ext>
              </c:extLst>
            </c:dLbl>
            <c:dLbl>
              <c:idx val="2"/>
              <c:layout>
                <c:manualLayout>
                  <c:x val="-1.5392013060183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5-44D9-BB42-81D8616AE958}"/>
                </c:ext>
              </c:extLst>
            </c:dLbl>
            <c:dLbl>
              <c:idx val="3"/>
              <c:layout>
                <c:manualLayout>
                  <c:x val="-1.6112786971352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E2-4E20-AE76-AF31A4588F74}"/>
                </c:ext>
              </c:extLst>
            </c:dLbl>
            <c:dLbl>
              <c:idx val="4"/>
              <c:layout>
                <c:manualLayout>
                  <c:x val="-1.61127869713527E-2"/>
                  <c:y val="5.96569724086502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E2-4E20-AE76-AF31A4588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'5Anz10BR'!$C$4:$G$4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'5Anz10BR'!$C$7:$G$7</c:f>
              <c:numCache>
                <c:formatCode>#,##0</c:formatCode>
                <c:ptCount val="5"/>
                <c:pt idx="0">
                  <c:v>2949</c:v>
                </c:pt>
                <c:pt idx="1">
                  <c:v>2780</c:v>
                </c:pt>
                <c:pt idx="2">
                  <c:v>2805</c:v>
                </c:pt>
                <c:pt idx="3">
                  <c:v>2833</c:v>
                </c:pt>
                <c:pt idx="4">
                  <c:v>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E2-4E20-AE76-AF31A4588F74}"/>
            </c:ext>
          </c:extLst>
        </c:ser>
        <c:ser>
          <c:idx val="3"/>
          <c:order val="3"/>
          <c:tx>
            <c:strRef>
              <c:f>'5Anz10BR'!$B$8</c:f>
              <c:strCache>
                <c:ptCount val="1"/>
                <c:pt idx="0">
                  <c:v>Bezirksregierung Köln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4098688599933615E-2"/>
                  <c:y val="-5.96569724086502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E2-4E20-AE76-AF31A4588F74}"/>
                </c:ext>
              </c:extLst>
            </c:dLbl>
            <c:dLbl>
              <c:idx val="2"/>
              <c:layout>
                <c:manualLayout>
                  <c:x val="1.5932551471588556E-2"/>
                  <c:y val="3.04182509505697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E2-4E20-AE76-AF31A4588F74}"/>
                </c:ext>
              </c:extLst>
            </c:dLbl>
            <c:dLbl>
              <c:idx val="3"/>
              <c:layout>
                <c:manualLayout>
                  <c:x val="1.208459022851445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E2-4E20-AE76-AF31A4588F74}"/>
                </c:ext>
              </c:extLst>
            </c:dLbl>
            <c:dLbl>
              <c:idx val="4"/>
              <c:layout>
                <c:manualLayout>
                  <c:x val="1.20845902285145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E2-4E20-AE76-AF31A4588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'5Anz10BR'!$C$4:$G$4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'5Anz10BR'!$C$8:$G$8</c:f>
              <c:numCache>
                <c:formatCode>#,##0</c:formatCode>
                <c:ptCount val="5"/>
                <c:pt idx="0">
                  <c:v>2698</c:v>
                </c:pt>
                <c:pt idx="1">
                  <c:v>2588</c:v>
                </c:pt>
                <c:pt idx="2">
                  <c:v>2672</c:v>
                </c:pt>
                <c:pt idx="3">
                  <c:v>2781</c:v>
                </c:pt>
                <c:pt idx="4">
                  <c:v>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E2-4E20-AE76-AF31A4588F74}"/>
            </c:ext>
          </c:extLst>
        </c:ser>
        <c:ser>
          <c:idx val="4"/>
          <c:order val="4"/>
          <c:tx>
            <c:strRef>
              <c:f>'5Anz10BR'!$B$9</c:f>
              <c:strCache>
                <c:ptCount val="1"/>
                <c:pt idx="0">
                  <c:v>Bezirksregierung Münster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tx>
                <c:rich>
                  <a:bodyPr/>
                  <a:lstStyle/>
                  <a:p>
                    <a:r>
                      <a:rPr lang="en-US" sz="700" b="1" i="0"/>
                      <a:t>1.285</a:t>
                    </a:r>
                    <a:endParaRPr lang="en-US" b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EE2-4E20-AE76-AF31A4588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'5Anz10BR'!$C$4:$G$4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'5Anz10BR'!$C$9:$G$9</c:f>
              <c:numCache>
                <c:formatCode>#,##0</c:formatCode>
                <c:ptCount val="5"/>
                <c:pt idx="0">
                  <c:v>1137</c:v>
                </c:pt>
                <c:pt idx="1">
                  <c:v>1104</c:v>
                </c:pt>
                <c:pt idx="2">
                  <c:v>1071</c:v>
                </c:pt>
                <c:pt idx="3">
                  <c:v>1011</c:v>
                </c:pt>
                <c:pt idx="4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EE2-4E20-AE76-AF31A4588F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344256"/>
        <c:axId val="109345792"/>
      </c:barChart>
      <c:catAx>
        <c:axId val="1093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34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344256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94610463066588"/>
          <c:y val="0.17602353397100531"/>
          <c:w val="0.15199750188365774"/>
          <c:h val="0.291582847446082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146049</xdr:colOff>
      <xdr:row>7</xdr:row>
      <xdr:rowOff>152401</xdr:rowOff>
    </xdr:from>
    <xdr:to>
      <xdr:col>8</xdr:col>
      <xdr:colOff>600074</xdr:colOff>
      <xdr:row>25</xdr:row>
      <xdr:rowOff>38101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133349</xdr:colOff>
      <xdr:row>7</xdr:row>
      <xdr:rowOff>139700</xdr:rowOff>
    </xdr:from>
    <xdr:to>
      <xdr:col>11</xdr:col>
      <xdr:colOff>520700</xdr:colOff>
      <xdr:row>26</xdr:row>
      <xdr:rowOff>7621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10</xdr:row>
      <xdr:rowOff>120015</xdr:rowOff>
    </xdr:from>
    <xdr:to>
      <xdr:col>11</xdr:col>
      <xdr:colOff>99060</xdr:colOff>
      <xdr:row>34</xdr:row>
      <xdr:rowOff>15240</xdr:rowOff>
    </xdr:to>
    <xdr:graphicFrame macro="">
      <xdr:nvGraphicFramePr>
        <xdr:cNvPr id="2" name="Diagramm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37</xdr:row>
      <xdr:rowOff>142875</xdr:rowOff>
    </xdr:from>
    <xdr:to>
      <xdr:col>7</xdr:col>
      <xdr:colOff>628650</xdr:colOff>
      <xdr:row>52</xdr:row>
      <xdr:rowOff>66675</xdr:rowOff>
    </xdr:to>
    <xdr:graphicFrame macro="">
      <xdr:nvGraphicFramePr>
        <xdr:cNvPr id="3" name="Diagramm 9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6</xdr:row>
      <xdr:rowOff>9525</xdr:rowOff>
    </xdr:from>
    <xdr:to>
      <xdr:col>8</xdr:col>
      <xdr:colOff>327660</xdr:colOff>
      <xdr:row>28</xdr:row>
      <xdr:rowOff>90170</xdr:rowOff>
    </xdr:to>
    <xdr:graphicFrame macro="">
      <xdr:nvGraphicFramePr>
        <xdr:cNvPr id="3" name="Diagramm 1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419100</xdr:colOff>
      <xdr:row>20</xdr:row>
      <xdr:rowOff>83820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8244840" y="3444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729615</xdr:colOff>
      <xdr:row>7</xdr:row>
      <xdr:rowOff>120015</xdr:rowOff>
    </xdr:from>
    <xdr:to>
      <xdr:col>8</xdr:col>
      <xdr:colOff>615315</xdr:colOff>
      <xdr:row>24</xdr:row>
      <xdr:rowOff>91440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714375</xdr:colOff>
      <xdr:row>7</xdr:row>
      <xdr:rowOff>116205</xdr:rowOff>
    </xdr:from>
    <xdr:to>
      <xdr:col>10</xdr:col>
      <xdr:colOff>676275</xdr:colOff>
      <xdr:row>24</xdr:row>
      <xdr:rowOff>106680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>
          <a:spLocks noChangeShapeType="1"/>
        </xdr:cNvSpPr>
      </xdr:nvSpPr>
      <xdr:spPr bwMode="auto">
        <a:xfrm>
          <a:off x="11201400" y="178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142875</xdr:rowOff>
    </xdr:from>
    <xdr:to>
      <xdr:col>2</xdr:col>
      <xdr:colOff>0</xdr:colOff>
      <xdr:row>12</xdr:row>
      <xdr:rowOff>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11201400" y="17621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364331</xdr:colOff>
      <xdr:row>1</xdr:row>
      <xdr:rowOff>157163</xdr:rowOff>
    </xdr:from>
    <xdr:to>
      <xdr:col>9</xdr:col>
      <xdr:colOff>669131</xdr:colOff>
      <xdr:row>34</xdr:row>
      <xdr:rowOff>61913</xdr:rowOff>
    </xdr:to>
    <xdr:graphicFrame macro="">
      <xdr:nvGraphicFramePr>
        <xdr:cNvPr id="9" name="Diagramm 21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428624</xdr:colOff>
      <xdr:row>13</xdr:row>
      <xdr:rowOff>38735</xdr:rowOff>
    </xdr:from>
    <xdr:to>
      <xdr:col>8</xdr:col>
      <xdr:colOff>514350</xdr:colOff>
      <xdr:row>39</xdr:row>
      <xdr:rowOff>86360</xdr:rowOff>
    </xdr:to>
    <xdr:graphicFrame macro="">
      <xdr:nvGraphicFramePr>
        <xdr:cNvPr id="2" name="Diagramm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58</xdr:row>
      <xdr:rowOff>142875</xdr:rowOff>
    </xdr:from>
    <xdr:to>
      <xdr:col>7</xdr:col>
      <xdr:colOff>314325</xdr:colOff>
      <xdr:row>74</xdr:row>
      <xdr:rowOff>66675</xdr:rowOff>
    </xdr:to>
    <xdr:graphicFrame macro="">
      <xdr:nvGraphicFramePr>
        <xdr:cNvPr id="4" name="Diagramm 12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45720</xdr:rowOff>
    </xdr:from>
    <xdr:to>
      <xdr:col>8</xdr:col>
      <xdr:colOff>571500</xdr:colOff>
      <xdr:row>36</xdr:row>
      <xdr:rowOff>30480</xdr:rowOff>
    </xdr:to>
    <xdr:graphicFrame macro="">
      <xdr:nvGraphicFramePr>
        <xdr:cNvPr id="3" name="Diagramm 1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8</xdr:row>
      <xdr:rowOff>66675</xdr:rowOff>
    </xdr:from>
    <xdr:to>
      <xdr:col>7</xdr:col>
      <xdr:colOff>600075</xdr:colOff>
      <xdr:row>25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777240</xdr:colOff>
      <xdr:row>8</xdr:row>
      <xdr:rowOff>47625</xdr:rowOff>
    </xdr:from>
    <xdr:to>
      <xdr:col>10</xdr:col>
      <xdr:colOff>548640</xdr:colOff>
      <xdr:row>25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19</xdr:row>
      <xdr:rowOff>38101</xdr:rowOff>
    </xdr:from>
    <xdr:to>
      <xdr:col>9</xdr:col>
      <xdr:colOff>180975</xdr:colOff>
      <xdr:row>43</xdr:row>
      <xdr:rowOff>38101</xdr:rowOff>
    </xdr:to>
    <xdr:graphicFrame macro="">
      <xdr:nvGraphicFramePr>
        <xdr:cNvPr id="2" name="Diagramm 8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1285875</xdr:colOff>
      <xdr:row>68</xdr:row>
      <xdr:rowOff>123825</xdr:rowOff>
    </xdr:from>
    <xdr:to>
      <xdr:col>4</xdr:col>
      <xdr:colOff>647700</xdr:colOff>
      <xdr:row>84</xdr:row>
      <xdr:rowOff>47625</xdr:rowOff>
    </xdr:to>
    <xdr:graphicFrame macro="">
      <xdr:nvGraphicFramePr>
        <xdr:cNvPr id="3" name="Diagramm 1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AJ46"/>
  <sheetViews>
    <sheetView topLeftCell="A7" workbookViewId="0">
      <selection activeCell="AB7" sqref="AB7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1" customFormat="1" ht="18" x14ac:dyDescent="0.25">
      <c r="A1" s="730" t="s">
        <v>83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1" customFormat="1" ht="9" customHeight="1" thickBot="1" x14ac:dyDescent="0.3"/>
    <row r="3" spans="1:36" ht="65.2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t="s">
        <v>44</v>
      </c>
      <c r="AA3" s="39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17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  <c r="AF5" s="222"/>
    </row>
    <row r="6" spans="1:36" ht="15" thickBot="1" x14ac:dyDescent="0.25">
      <c r="A6" s="7" t="s">
        <v>1</v>
      </c>
      <c r="B6" s="158">
        <v>116</v>
      </c>
      <c r="C6" s="22"/>
      <c r="D6" s="22"/>
      <c r="E6" s="22"/>
      <c r="F6" s="22"/>
      <c r="G6" s="158">
        <v>391</v>
      </c>
      <c r="H6" s="44"/>
      <c r="I6" s="45"/>
      <c r="J6" s="45"/>
      <c r="K6" s="45"/>
      <c r="L6" s="46"/>
      <c r="M6" s="159">
        <v>1</v>
      </c>
      <c r="N6" s="47">
        <f>M6*100/G6</f>
        <v>0.25575447570332482</v>
      </c>
      <c r="O6" s="45"/>
      <c r="P6" s="45"/>
      <c r="Q6" s="45"/>
      <c r="R6" s="45"/>
      <c r="S6" s="45"/>
      <c r="T6" s="158">
        <v>3</v>
      </c>
      <c r="U6" s="133">
        <f>T6*100/G6</f>
        <v>0.76726342710997442</v>
      </c>
      <c r="V6" s="45"/>
      <c r="W6" s="45"/>
      <c r="X6" s="45"/>
      <c r="Y6" s="45"/>
      <c r="Z6" s="45"/>
      <c r="AA6" s="159">
        <v>0</v>
      </c>
      <c r="AB6" s="216">
        <f>AA6*100/G6</f>
        <v>0</v>
      </c>
      <c r="AC6" s="160">
        <v>0</v>
      </c>
      <c r="AD6" s="161">
        <v>1</v>
      </c>
      <c r="AE6" s="162">
        <v>15</v>
      </c>
      <c r="AF6" s="223"/>
    </row>
    <row r="7" spans="1:36" ht="15" thickBot="1" x14ac:dyDescent="0.25">
      <c r="A7" s="8" t="s">
        <v>2</v>
      </c>
      <c r="B7" s="163">
        <v>858</v>
      </c>
      <c r="C7" s="22"/>
      <c r="D7" s="22"/>
      <c r="E7" s="22"/>
      <c r="F7" s="22"/>
      <c r="G7" s="163">
        <v>3155</v>
      </c>
      <c r="H7" s="44"/>
      <c r="I7" s="45"/>
      <c r="J7" s="45"/>
      <c r="K7" s="45"/>
      <c r="L7" s="46"/>
      <c r="M7" s="164">
        <v>7</v>
      </c>
      <c r="N7" s="49">
        <f>M7*100/G7</f>
        <v>0.22187004754358161</v>
      </c>
      <c r="O7" s="45"/>
      <c r="P7" s="45"/>
      <c r="Q7" s="45"/>
      <c r="R7" s="45"/>
      <c r="S7" s="45"/>
      <c r="T7" s="163">
        <v>14</v>
      </c>
      <c r="U7" s="92">
        <f>T7*100/G7</f>
        <v>0.44374009508716322</v>
      </c>
      <c r="V7" s="45"/>
      <c r="W7" s="45"/>
      <c r="X7" s="45"/>
      <c r="Y7" s="45"/>
      <c r="Z7" s="45"/>
      <c r="AA7" s="164">
        <v>15</v>
      </c>
      <c r="AB7" s="104">
        <f>AA7*100/G7</f>
        <v>0.47543581616481773</v>
      </c>
      <c r="AC7" s="163">
        <v>4</v>
      </c>
      <c r="AD7" s="165">
        <v>5</v>
      </c>
      <c r="AE7" s="166">
        <v>72</v>
      </c>
    </row>
    <row r="8" spans="1:36" ht="15" thickBot="1" x14ac:dyDescent="0.25">
      <c r="A8" s="8" t="s">
        <v>14</v>
      </c>
      <c r="B8" s="163">
        <v>85</v>
      </c>
      <c r="C8" s="22"/>
      <c r="D8" s="22"/>
      <c r="E8" s="22"/>
      <c r="F8" s="22"/>
      <c r="G8" s="163">
        <v>432</v>
      </c>
      <c r="H8" s="44"/>
      <c r="I8" s="45"/>
      <c r="J8" s="45"/>
      <c r="K8" s="45"/>
      <c r="L8" s="46"/>
      <c r="M8" s="164">
        <v>1</v>
      </c>
      <c r="N8" s="49">
        <f>M8*100/G8</f>
        <v>0.23148148148148148</v>
      </c>
      <c r="O8" s="45"/>
      <c r="P8" s="45"/>
      <c r="Q8" s="45"/>
      <c r="R8" s="45"/>
      <c r="S8" s="45"/>
      <c r="T8" s="163">
        <v>2</v>
      </c>
      <c r="U8" s="92">
        <f t="shared" ref="U8:U43" si="0">T8*100/G8</f>
        <v>0.46296296296296297</v>
      </c>
      <c r="V8" s="45"/>
      <c r="W8" s="45"/>
      <c r="X8" s="45"/>
      <c r="Y8" s="45"/>
      <c r="Z8" s="45"/>
      <c r="AA8" s="164">
        <v>0</v>
      </c>
      <c r="AB8" s="104">
        <f t="shared" ref="AB8:AB43" si="1">AA8*100/G8</f>
        <v>0</v>
      </c>
      <c r="AC8" s="163">
        <v>0</v>
      </c>
      <c r="AD8" s="165">
        <v>0</v>
      </c>
      <c r="AE8" s="167">
        <v>16</v>
      </c>
    </row>
    <row r="9" spans="1:36" ht="15" thickBot="1" x14ac:dyDescent="0.25">
      <c r="A9" s="9" t="s">
        <v>3</v>
      </c>
      <c r="B9" s="168">
        <v>124</v>
      </c>
      <c r="C9" s="22"/>
      <c r="D9" s="22"/>
      <c r="E9" s="22"/>
      <c r="F9" s="22"/>
      <c r="G9" s="168">
        <v>571</v>
      </c>
      <c r="H9" s="44"/>
      <c r="I9" s="45"/>
      <c r="J9" s="45"/>
      <c r="K9" s="45"/>
      <c r="L9" s="46"/>
      <c r="M9" s="169">
        <v>2</v>
      </c>
      <c r="N9" s="49">
        <f>M9*100/G9</f>
        <v>0.35026269702276708</v>
      </c>
      <c r="O9" s="45"/>
      <c r="P9" s="45"/>
      <c r="Q9" s="45"/>
      <c r="R9" s="45"/>
      <c r="S9" s="45"/>
      <c r="T9" s="168">
        <v>2</v>
      </c>
      <c r="U9" s="92">
        <f t="shared" si="0"/>
        <v>0.35026269702276708</v>
      </c>
      <c r="V9" s="45"/>
      <c r="W9" s="45"/>
      <c r="X9" s="45"/>
      <c r="Y9" s="45"/>
      <c r="Z9" s="45"/>
      <c r="AA9" s="169">
        <v>1</v>
      </c>
      <c r="AB9" s="104">
        <f t="shared" si="1"/>
        <v>0.17513134851138354</v>
      </c>
      <c r="AC9" s="168">
        <v>1</v>
      </c>
      <c r="AD9" s="170">
        <v>0</v>
      </c>
      <c r="AE9" s="171">
        <v>24</v>
      </c>
    </row>
    <row r="10" spans="1:36" ht="24.75" thickBot="1" x14ac:dyDescent="0.25">
      <c r="A10" s="18" t="s">
        <v>23</v>
      </c>
      <c r="B10" s="173">
        <v>923</v>
      </c>
      <c r="C10" s="22"/>
      <c r="D10" s="22"/>
      <c r="E10" s="22"/>
      <c r="F10" s="22"/>
      <c r="G10" s="173">
        <v>3466</v>
      </c>
      <c r="H10" s="44"/>
      <c r="I10" s="45"/>
      <c r="J10" s="45"/>
      <c r="K10" s="45"/>
      <c r="L10" s="46"/>
      <c r="M10" s="174">
        <v>2</v>
      </c>
      <c r="N10" s="70">
        <f>M10*100/G10</f>
        <v>5.770340450086555E-2</v>
      </c>
      <c r="O10" s="45"/>
      <c r="P10" s="45"/>
      <c r="Q10" s="45"/>
      <c r="R10" s="45"/>
      <c r="S10" s="45"/>
      <c r="T10" s="173">
        <v>26</v>
      </c>
      <c r="U10" s="143">
        <f t="shared" si="0"/>
        <v>0.75014425851125222</v>
      </c>
      <c r="V10" s="45"/>
      <c r="W10" s="45"/>
      <c r="X10" s="45"/>
      <c r="Y10" s="45"/>
      <c r="Z10" s="45"/>
      <c r="AA10" s="174">
        <v>5</v>
      </c>
      <c r="AB10" s="105">
        <f t="shared" si="1"/>
        <v>0.14425851125216388</v>
      </c>
      <c r="AC10" s="173">
        <v>4</v>
      </c>
      <c r="AD10" s="175">
        <v>1</v>
      </c>
      <c r="AE10" s="176">
        <v>104</v>
      </c>
    </row>
    <row r="11" spans="1:36" ht="15.75" thickBot="1" x14ac:dyDescent="0.3">
      <c r="A11" s="10" t="s">
        <v>21</v>
      </c>
      <c r="B11" s="24">
        <f t="shared" ref="B11:G11" si="2">SUM(B6:B10)</f>
        <v>2106</v>
      </c>
      <c r="C11" s="24">
        <f t="shared" si="2"/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108">
        <f t="shared" si="2"/>
        <v>8015</v>
      </c>
      <c r="H11" s="122">
        <f t="shared" ref="H11:M11" si="3">SUM(H6:H10)</f>
        <v>0</v>
      </c>
      <c r="I11" s="122">
        <f t="shared" si="3"/>
        <v>0</v>
      </c>
      <c r="J11" s="122">
        <f t="shared" si="3"/>
        <v>0</v>
      </c>
      <c r="K11" s="122">
        <f t="shared" si="3"/>
        <v>0</v>
      </c>
      <c r="L11" s="122">
        <f t="shared" si="3"/>
        <v>0</v>
      </c>
      <c r="M11" s="108">
        <f t="shared" si="3"/>
        <v>13</v>
      </c>
      <c r="N11" s="118">
        <f t="shared" ref="N11:N43" si="4">M11*100/G11</f>
        <v>0.16219588271990018</v>
      </c>
      <c r="O11" s="119">
        <f t="shared" ref="O11:T11" si="5">SUM(O6:O10)</f>
        <v>0</v>
      </c>
      <c r="P11" s="119">
        <f t="shared" si="5"/>
        <v>0</v>
      </c>
      <c r="Q11" s="119">
        <f t="shared" si="5"/>
        <v>0</v>
      </c>
      <c r="R11" s="119">
        <f t="shared" si="5"/>
        <v>0</v>
      </c>
      <c r="S11" s="119">
        <f t="shared" si="5"/>
        <v>0</v>
      </c>
      <c r="T11" s="108">
        <f t="shared" si="5"/>
        <v>47</v>
      </c>
      <c r="U11" s="94">
        <f t="shared" si="0"/>
        <v>0.58640049906425451</v>
      </c>
      <c r="V11" s="119">
        <f t="shared" ref="V11:AA11" si="6">SUM(V6:V10)</f>
        <v>0</v>
      </c>
      <c r="W11" s="119">
        <f t="shared" si="6"/>
        <v>0</v>
      </c>
      <c r="X11" s="119">
        <f t="shared" si="6"/>
        <v>0</v>
      </c>
      <c r="Y11" s="119">
        <f t="shared" si="6"/>
        <v>0</v>
      </c>
      <c r="Z11" s="119">
        <f t="shared" si="6"/>
        <v>0</v>
      </c>
      <c r="AA11" s="108">
        <f t="shared" si="6"/>
        <v>21</v>
      </c>
      <c r="AB11" s="106">
        <f t="shared" si="1"/>
        <v>0.26200873362445415</v>
      </c>
      <c r="AC11" s="108">
        <f>SUM(AC6:AC10)</f>
        <v>9</v>
      </c>
      <c r="AD11" s="108">
        <f>SUM(AD6:AD10)</f>
        <v>7</v>
      </c>
      <c r="AE11" s="108">
        <f>SUM(AE6:AE10)</f>
        <v>231</v>
      </c>
    </row>
    <row r="12" spans="1:36" ht="14.25" x14ac:dyDescent="0.2">
      <c r="A12" s="4"/>
      <c r="B12" s="25"/>
      <c r="C12" s="25"/>
      <c r="D12" s="25"/>
      <c r="E12" s="25"/>
      <c r="F12" s="25"/>
      <c r="G12" s="2"/>
      <c r="H12" s="52"/>
      <c r="I12" s="52"/>
      <c r="J12" s="52"/>
      <c r="K12" s="52"/>
      <c r="L12" s="53"/>
      <c r="M12" s="2"/>
      <c r="N12" s="90"/>
      <c r="O12" s="52"/>
      <c r="P12" s="52"/>
      <c r="Q12" s="52"/>
      <c r="R12" s="52"/>
      <c r="S12" s="52"/>
      <c r="T12" s="2"/>
      <c r="U12" s="151"/>
      <c r="AA12" s="2"/>
      <c r="AC12" s="161"/>
      <c r="AD12" s="2"/>
      <c r="AE12" s="180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H13" s="54"/>
      <c r="I13" s="54"/>
      <c r="J13" s="54"/>
      <c r="K13" s="54"/>
      <c r="L13" s="55"/>
      <c r="N13" s="56"/>
      <c r="O13" s="54"/>
      <c r="P13" s="54"/>
      <c r="Q13" s="54"/>
      <c r="R13" s="54"/>
      <c r="S13" s="54"/>
      <c r="U13" s="131"/>
      <c r="AC13" s="181"/>
    </row>
    <row r="14" spans="1:36" ht="14.25" x14ac:dyDescent="0.2">
      <c r="A14" s="7" t="s">
        <v>4</v>
      </c>
      <c r="B14" s="22"/>
      <c r="C14" s="22"/>
      <c r="D14" s="22"/>
      <c r="E14" s="22"/>
      <c r="F14" s="22"/>
      <c r="G14" s="158">
        <v>100</v>
      </c>
      <c r="H14" s="57"/>
      <c r="I14" s="57"/>
      <c r="J14" s="58"/>
      <c r="K14" s="45"/>
      <c r="L14" s="46"/>
      <c r="M14" s="159">
        <v>0</v>
      </c>
      <c r="N14" s="51">
        <f t="shared" si="4"/>
        <v>0</v>
      </c>
      <c r="O14" s="58"/>
      <c r="P14" s="58"/>
      <c r="Q14" s="45"/>
      <c r="R14" s="45"/>
      <c r="S14" s="58"/>
      <c r="T14" s="158">
        <v>1</v>
      </c>
      <c r="U14" s="211">
        <f t="shared" si="0"/>
        <v>1</v>
      </c>
      <c r="V14" s="45"/>
      <c r="W14" s="45"/>
      <c r="X14" s="45"/>
      <c r="Y14" s="45"/>
      <c r="Z14" s="45"/>
      <c r="AA14" s="159">
        <v>0</v>
      </c>
      <c r="AB14" s="104">
        <f t="shared" si="1"/>
        <v>0</v>
      </c>
      <c r="AC14" s="158">
        <v>0</v>
      </c>
      <c r="AD14" s="182">
        <v>0</v>
      </c>
      <c r="AE14" s="183">
        <v>4</v>
      </c>
    </row>
    <row r="15" spans="1:36" ht="14.25" x14ac:dyDescent="0.2">
      <c r="A15" s="11" t="s">
        <v>5</v>
      </c>
      <c r="B15" s="27"/>
      <c r="C15" s="27"/>
      <c r="D15" s="27"/>
      <c r="E15" s="27"/>
      <c r="F15" s="27"/>
      <c r="G15" s="163">
        <v>727</v>
      </c>
      <c r="H15" s="59"/>
      <c r="I15" s="60"/>
      <c r="J15" s="61"/>
      <c r="K15" s="62"/>
      <c r="L15" s="48"/>
      <c r="M15" s="164">
        <v>2</v>
      </c>
      <c r="N15" s="51">
        <f t="shared" si="4"/>
        <v>0.27510316368638238</v>
      </c>
      <c r="O15" s="62"/>
      <c r="P15" s="61"/>
      <c r="Q15" s="62"/>
      <c r="R15" s="62"/>
      <c r="S15" s="63"/>
      <c r="T15" s="163">
        <v>4</v>
      </c>
      <c r="U15" s="212">
        <f t="shared" si="0"/>
        <v>0.55020632737276476</v>
      </c>
      <c r="V15" s="62"/>
      <c r="W15" s="62"/>
      <c r="X15" s="62"/>
      <c r="Y15" s="62"/>
      <c r="Z15" s="62"/>
      <c r="AA15" s="164">
        <v>1</v>
      </c>
      <c r="AB15" s="104">
        <f t="shared" si="1"/>
        <v>0.13755158184319119</v>
      </c>
      <c r="AC15" s="163">
        <v>0</v>
      </c>
      <c r="AD15" s="165">
        <v>0</v>
      </c>
      <c r="AE15" s="166">
        <v>38</v>
      </c>
    </row>
    <row r="16" spans="1:36" ht="14.25" x14ac:dyDescent="0.2">
      <c r="A16" s="11" t="s">
        <v>6</v>
      </c>
      <c r="B16" s="28"/>
      <c r="C16" s="27"/>
      <c r="D16" s="27"/>
      <c r="E16" s="27"/>
      <c r="F16" s="27"/>
      <c r="G16" s="163">
        <v>248</v>
      </c>
      <c r="H16" s="59"/>
      <c r="I16" s="60"/>
      <c r="J16" s="61"/>
      <c r="K16" s="62"/>
      <c r="L16" s="48"/>
      <c r="M16" s="164">
        <v>0</v>
      </c>
      <c r="N16" s="51">
        <f t="shared" si="4"/>
        <v>0</v>
      </c>
      <c r="O16" s="64"/>
      <c r="P16" s="64"/>
      <c r="Q16" s="62"/>
      <c r="R16" s="62"/>
      <c r="S16" s="63"/>
      <c r="T16" s="163">
        <v>1</v>
      </c>
      <c r="U16" s="212">
        <f t="shared" si="0"/>
        <v>0.40322580645161288</v>
      </c>
      <c r="V16" s="62"/>
      <c r="W16" s="62"/>
      <c r="X16" s="62"/>
      <c r="Y16" s="62"/>
      <c r="Z16" s="62"/>
      <c r="AA16" s="164">
        <v>1</v>
      </c>
      <c r="AB16" s="104">
        <f t="shared" si="1"/>
        <v>0.40322580645161288</v>
      </c>
      <c r="AC16" s="163">
        <v>0</v>
      </c>
      <c r="AD16" s="165">
        <v>0</v>
      </c>
      <c r="AE16" s="167">
        <v>4</v>
      </c>
    </row>
    <row r="17" spans="1:34" ht="14.25" x14ac:dyDescent="0.2">
      <c r="A17" s="11" t="s">
        <v>7</v>
      </c>
      <c r="B17" s="27"/>
      <c r="C17" s="27"/>
      <c r="D17" s="27"/>
      <c r="E17" s="27"/>
      <c r="F17" s="27"/>
      <c r="G17" s="163">
        <v>151</v>
      </c>
      <c r="H17" s="59"/>
      <c r="I17" s="60"/>
      <c r="J17" s="61"/>
      <c r="K17" s="62"/>
      <c r="L17" s="48"/>
      <c r="M17" s="164">
        <v>0</v>
      </c>
      <c r="N17" s="51">
        <f t="shared" si="4"/>
        <v>0</v>
      </c>
      <c r="O17" s="62"/>
      <c r="P17" s="62"/>
      <c r="Q17" s="62"/>
      <c r="R17" s="62"/>
      <c r="S17" s="63"/>
      <c r="T17" s="163">
        <v>1</v>
      </c>
      <c r="U17" s="212">
        <f t="shared" si="0"/>
        <v>0.66225165562913912</v>
      </c>
      <c r="V17" s="62"/>
      <c r="W17" s="62"/>
      <c r="X17" s="62"/>
      <c r="Y17" s="62"/>
      <c r="Z17" s="62"/>
      <c r="AA17" s="164">
        <v>2</v>
      </c>
      <c r="AB17" s="104">
        <f t="shared" si="1"/>
        <v>1.3245033112582782</v>
      </c>
      <c r="AC17" s="163">
        <v>0</v>
      </c>
      <c r="AD17" s="165">
        <v>0</v>
      </c>
      <c r="AE17" s="167">
        <v>1</v>
      </c>
    </row>
    <row r="18" spans="1:34" ht="14.25" x14ac:dyDescent="0.2">
      <c r="A18" s="11" t="s">
        <v>8</v>
      </c>
      <c r="B18" s="27"/>
      <c r="C18" s="27"/>
      <c r="D18" s="27"/>
      <c r="E18" s="27"/>
      <c r="F18" s="27"/>
      <c r="G18" s="163">
        <v>29</v>
      </c>
      <c r="H18" s="59"/>
      <c r="I18" s="60"/>
      <c r="J18" s="61"/>
      <c r="K18" s="62"/>
      <c r="L18" s="48"/>
      <c r="M18" s="164">
        <v>0</v>
      </c>
      <c r="N18" s="51">
        <f t="shared" si="4"/>
        <v>0</v>
      </c>
      <c r="O18" s="62"/>
      <c r="P18" s="62"/>
      <c r="Q18" s="62"/>
      <c r="R18" s="62"/>
      <c r="S18" s="61"/>
      <c r="T18" s="163">
        <v>0</v>
      </c>
      <c r="U18" s="212">
        <f t="shared" si="0"/>
        <v>0</v>
      </c>
      <c r="V18" s="62"/>
      <c r="W18" s="62"/>
      <c r="X18" s="62"/>
      <c r="Y18" s="62"/>
      <c r="Z18" s="62"/>
      <c r="AA18" s="164">
        <v>0</v>
      </c>
      <c r="AB18" s="104">
        <f t="shared" si="1"/>
        <v>0</v>
      </c>
      <c r="AC18" s="163">
        <v>0</v>
      </c>
      <c r="AD18" s="165">
        <v>0</v>
      </c>
      <c r="AE18" s="167">
        <v>1</v>
      </c>
    </row>
    <row r="19" spans="1:34" ht="14.25" x14ac:dyDescent="0.2">
      <c r="A19" s="11" t="s">
        <v>9</v>
      </c>
      <c r="B19" s="27"/>
      <c r="C19" s="27"/>
      <c r="D19" s="27"/>
      <c r="E19" s="27"/>
      <c r="F19" s="27"/>
      <c r="G19" s="163">
        <v>88</v>
      </c>
      <c r="H19" s="59"/>
      <c r="I19" s="60"/>
      <c r="J19" s="61"/>
      <c r="K19" s="62"/>
      <c r="L19" s="48"/>
      <c r="M19" s="164">
        <v>0</v>
      </c>
      <c r="N19" s="51">
        <f t="shared" si="4"/>
        <v>0</v>
      </c>
      <c r="O19" s="62"/>
      <c r="P19" s="62"/>
      <c r="Q19" s="62"/>
      <c r="R19" s="62"/>
      <c r="S19" s="65"/>
      <c r="T19" s="163">
        <v>0</v>
      </c>
      <c r="U19" s="212">
        <f t="shared" si="0"/>
        <v>0</v>
      </c>
      <c r="V19" s="62"/>
      <c r="W19" s="62"/>
      <c r="X19" s="62"/>
      <c r="Y19" s="62"/>
      <c r="Z19" s="62"/>
      <c r="AA19" s="164">
        <v>0</v>
      </c>
      <c r="AB19" s="104">
        <f t="shared" si="1"/>
        <v>0</v>
      </c>
      <c r="AC19" s="163">
        <v>0</v>
      </c>
      <c r="AD19" s="165">
        <v>0</v>
      </c>
      <c r="AE19" s="167">
        <v>0</v>
      </c>
    </row>
    <row r="20" spans="1:34" ht="14.25" x14ac:dyDescent="0.2">
      <c r="A20" s="11" t="s">
        <v>10</v>
      </c>
      <c r="B20" s="27"/>
      <c r="C20" s="27"/>
      <c r="D20" s="27"/>
      <c r="E20" s="27"/>
      <c r="F20" s="27"/>
      <c r="G20" s="163">
        <v>56</v>
      </c>
      <c r="H20" s="59"/>
      <c r="I20" s="60"/>
      <c r="J20" s="61"/>
      <c r="K20" s="62"/>
      <c r="L20" s="48"/>
      <c r="M20" s="164">
        <v>0</v>
      </c>
      <c r="N20" s="51">
        <f t="shared" si="4"/>
        <v>0</v>
      </c>
      <c r="O20" s="62"/>
      <c r="P20" s="62"/>
      <c r="Q20" s="62"/>
      <c r="R20" s="62"/>
      <c r="S20" s="65"/>
      <c r="T20" s="163">
        <v>0</v>
      </c>
      <c r="U20" s="212">
        <f t="shared" si="0"/>
        <v>0</v>
      </c>
      <c r="V20" s="62"/>
      <c r="W20" s="62"/>
      <c r="X20" s="62"/>
      <c r="Y20" s="62"/>
      <c r="Z20" s="62"/>
      <c r="AA20" s="164">
        <v>0</v>
      </c>
      <c r="AB20" s="104">
        <f t="shared" si="1"/>
        <v>0</v>
      </c>
      <c r="AC20" s="163">
        <v>0</v>
      </c>
      <c r="AD20" s="165">
        <v>0</v>
      </c>
      <c r="AE20" s="167">
        <v>0</v>
      </c>
    </row>
    <row r="21" spans="1:34" ht="14.25" x14ac:dyDescent="0.2">
      <c r="A21" s="11" t="s">
        <v>11</v>
      </c>
      <c r="B21" s="27"/>
      <c r="C21" s="27"/>
      <c r="D21" s="27"/>
      <c r="E21" s="27"/>
      <c r="F21" s="27"/>
      <c r="G21" s="163">
        <v>273</v>
      </c>
      <c r="H21" s="66"/>
      <c r="I21" s="66"/>
      <c r="J21" s="64"/>
      <c r="K21" s="62"/>
      <c r="L21" s="50"/>
      <c r="M21" s="164">
        <v>1</v>
      </c>
      <c r="N21" s="51">
        <f t="shared" si="4"/>
        <v>0.36630036630036628</v>
      </c>
      <c r="O21" s="62"/>
      <c r="P21" s="62"/>
      <c r="Q21" s="62"/>
      <c r="R21" s="62"/>
      <c r="S21" s="64"/>
      <c r="T21" s="163">
        <v>5</v>
      </c>
      <c r="U21" s="212">
        <f t="shared" si="0"/>
        <v>1.8315018315018314</v>
      </c>
      <c r="V21" s="62"/>
      <c r="W21" s="62"/>
      <c r="X21" s="62"/>
      <c r="Y21" s="62"/>
      <c r="Z21" s="62"/>
      <c r="AA21" s="164">
        <v>1</v>
      </c>
      <c r="AB21" s="104">
        <f t="shared" si="1"/>
        <v>0.36630036630036628</v>
      </c>
      <c r="AC21" s="163">
        <v>0</v>
      </c>
      <c r="AD21" s="165">
        <v>0</v>
      </c>
      <c r="AE21" s="167">
        <v>13</v>
      </c>
    </row>
    <row r="22" spans="1:34" ht="14.25" x14ac:dyDescent="0.2">
      <c r="A22" s="11" t="s">
        <v>12</v>
      </c>
      <c r="B22" s="27"/>
      <c r="C22" s="27"/>
      <c r="D22" s="27"/>
      <c r="E22" s="27"/>
      <c r="F22" s="27"/>
      <c r="G22" s="163">
        <v>6522</v>
      </c>
      <c r="H22" s="60"/>
      <c r="I22" s="62"/>
      <c r="J22" s="62"/>
      <c r="K22" s="62"/>
      <c r="L22" s="48"/>
      <c r="M22" s="164">
        <v>18</v>
      </c>
      <c r="N22" s="51">
        <f t="shared" si="4"/>
        <v>0.27598896044158233</v>
      </c>
      <c r="O22" s="62"/>
      <c r="P22" s="62"/>
      <c r="Q22" s="62"/>
      <c r="R22" s="62"/>
      <c r="S22" s="62"/>
      <c r="T22" s="163">
        <v>32</v>
      </c>
      <c r="U22" s="212">
        <f t="shared" si="0"/>
        <v>0.49064704078503524</v>
      </c>
      <c r="V22" s="62"/>
      <c r="W22" s="62"/>
      <c r="X22" s="62"/>
      <c r="Y22" s="62"/>
      <c r="Z22" s="62"/>
      <c r="AA22" s="164">
        <v>4</v>
      </c>
      <c r="AB22" s="104">
        <f t="shared" si="1"/>
        <v>6.1330880098129405E-2</v>
      </c>
      <c r="AC22" s="163">
        <v>4</v>
      </c>
      <c r="AD22" s="165">
        <v>2</v>
      </c>
      <c r="AE22" s="166">
        <v>150</v>
      </c>
    </row>
    <row r="23" spans="1:34" ht="14.25" x14ac:dyDescent="0.2">
      <c r="A23" s="12" t="s">
        <v>13</v>
      </c>
      <c r="B23" s="29"/>
      <c r="C23" s="29"/>
      <c r="D23" s="27"/>
      <c r="E23" s="29"/>
      <c r="F23" s="27"/>
      <c r="G23" s="168">
        <v>21</v>
      </c>
      <c r="H23" s="67"/>
      <c r="I23" s="68"/>
      <c r="J23" s="68"/>
      <c r="K23" s="68"/>
      <c r="L23" s="69"/>
      <c r="M23" s="169">
        <v>0</v>
      </c>
      <c r="N23" s="51">
        <f t="shared" si="4"/>
        <v>0</v>
      </c>
      <c r="O23" s="68"/>
      <c r="P23" s="68"/>
      <c r="Q23" s="68"/>
      <c r="R23" s="68"/>
      <c r="S23" s="68"/>
      <c r="T23" s="168">
        <v>0</v>
      </c>
      <c r="U23" s="212">
        <f t="shared" si="0"/>
        <v>0</v>
      </c>
      <c r="V23" s="68"/>
      <c r="W23" s="68"/>
      <c r="X23" s="68"/>
      <c r="Y23" s="68"/>
      <c r="Z23" s="68"/>
      <c r="AA23" s="169">
        <v>0</v>
      </c>
      <c r="AB23" s="104">
        <f t="shared" si="1"/>
        <v>0</v>
      </c>
      <c r="AC23" s="168">
        <v>1</v>
      </c>
      <c r="AD23" s="170">
        <v>0</v>
      </c>
      <c r="AE23" s="184">
        <v>0</v>
      </c>
    </row>
    <row r="24" spans="1:34" ht="24.75" thickBot="1" x14ac:dyDescent="0.25">
      <c r="A24" s="18" t="s">
        <v>23</v>
      </c>
      <c r="B24" s="23"/>
      <c r="C24" s="23"/>
      <c r="D24" s="27"/>
      <c r="E24" s="23"/>
      <c r="F24" s="27"/>
      <c r="G24" s="173">
        <v>1930</v>
      </c>
      <c r="H24" s="150"/>
      <c r="I24" s="68"/>
      <c r="J24" s="68"/>
      <c r="K24" s="68"/>
      <c r="L24" s="69"/>
      <c r="M24" s="174">
        <v>1</v>
      </c>
      <c r="N24" s="70">
        <f t="shared" si="4"/>
        <v>5.181347150259067E-2</v>
      </c>
      <c r="O24" s="89"/>
      <c r="P24" s="68"/>
      <c r="Q24" s="89"/>
      <c r="R24" s="89"/>
      <c r="S24" s="68"/>
      <c r="T24" s="173">
        <v>6</v>
      </c>
      <c r="U24" s="213">
        <f t="shared" si="0"/>
        <v>0.31088082901554404</v>
      </c>
      <c r="V24" s="89"/>
      <c r="W24" s="89"/>
      <c r="X24" s="89"/>
      <c r="Y24" s="89"/>
      <c r="Z24" s="89"/>
      <c r="AA24" s="174">
        <v>8</v>
      </c>
      <c r="AB24" s="105">
        <f t="shared" si="1"/>
        <v>0.41450777202072536</v>
      </c>
      <c r="AC24" s="173">
        <v>1</v>
      </c>
      <c r="AD24" s="175">
        <v>0</v>
      </c>
      <c r="AE24" s="185">
        <v>52</v>
      </c>
    </row>
    <row r="25" spans="1:34" ht="15.75" thickBot="1" x14ac:dyDescent="0.3">
      <c r="A25" s="13" t="s">
        <v>22</v>
      </c>
      <c r="B25" s="30">
        <f t="shared" ref="B25:L25" si="7">SUM(B14:B24)</f>
        <v>0</v>
      </c>
      <c r="C25" s="30">
        <f t="shared" si="7"/>
        <v>0</v>
      </c>
      <c r="D25" s="30">
        <f t="shared" si="7"/>
        <v>0</v>
      </c>
      <c r="E25" s="30">
        <f t="shared" si="7"/>
        <v>0</v>
      </c>
      <c r="F25" s="30">
        <f t="shared" si="7"/>
        <v>0</v>
      </c>
      <c r="G25" s="108">
        <f>SUM(G14:G24)</f>
        <v>10145</v>
      </c>
      <c r="H25" s="71">
        <f t="shared" si="7"/>
        <v>0</v>
      </c>
      <c r="I25" s="72">
        <f t="shared" si="7"/>
        <v>0</v>
      </c>
      <c r="J25" s="72">
        <f t="shared" si="7"/>
        <v>0</v>
      </c>
      <c r="K25" s="72">
        <f t="shared" si="7"/>
        <v>0</v>
      </c>
      <c r="L25" s="72">
        <f t="shared" si="7"/>
        <v>0</v>
      </c>
      <c r="M25" s="108">
        <f>SUM(M14:M24)</f>
        <v>22</v>
      </c>
      <c r="N25" s="118">
        <f t="shared" si="4"/>
        <v>0.21685559388861508</v>
      </c>
      <c r="O25" s="116">
        <f t="shared" ref="O25:T25" si="8">SUM(O14:O24)</f>
        <v>0</v>
      </c>
      <c r="P25" s="116">
        <f t="shared" si="8"/>
        <v>0</v>
      </c>
      <c r="Q25" s="116">
        <f t="shared" si="8"/>
        <v>0</v>
      </c>
      <c r="R25" s="116">
        <f t="shared" si="8"/>
        <v>0</v>
      </c>
      <c r="S25" s="116">
        <f t="shared" si="8"/>
        <v>0</v>
      </c>
      <c r="T25" s="108">
        <f t="shared" si="8"/>
        <v>50</v>
      </c>
      <c r="U25" s="214">
        <f t="shared" si="0"/>
        <v>0.49285362247412517</v>
      </c>
      <c r="V25" s="116">
        <f t="shared" ref="V25:AA25" si="9">SUM(V14:V24)</f>
        <v>0</v>
      </c>
      <c r="W25" s="116">
        <f t="shared" si="9"/>
        <v>0</v>
      </c>
      <c r="X25" s="116">
        <f t="shared" si="9"/>
        <v>0</v>
      </c>
      <c r="Y25" s="116">
        <f t="shared" si="9"/>
        <v>0</v>
      </c>
      <c r="Z25" s="116">
        <f t="shared" si="9"/>
        <v>0</v>
      </c>
      <c r="AA25" s="108">
        <f t="shared" si="9"/>
        <v>17</v>
      </c>
      <c r="AB25" s="106">
        <f t="shared" si="1"/>
        <v>0.16757023164120255</v>
      </c>
      <c r="AC25" s="108">
        <f>SUM(AC14:AC24)</f>
        <v>6</v>
      </c>
      <c r="AD25" s="108">
        <f>SUM(AD14:AD24)</f>
        <v>2</v>
      </c>
      <c r="AE25" s="108">
        <f>SUM(AE14:AE24)</f>
        <v>263</v>
      </c>
    </row>
    <row r="26" spans="1:34" ht="14.25" x14ac:dyDescent="0.2">
      <c r="A26" s="5"/>
      <c r="B26" s="31"/>
      <c r="C26" s="31"/>
      <c r="D26" s="31"/>
      <c r="E26" s="31"/>
      <c r="F26" s="31"/>
      <c r="G26" s="2"/>
      <c r="H26" s="73"/>
      <c r="I26" s="73"/>
      <c r="J26" s="73"/>
      <c r="K26" s="73"/>
      <c r="L26" s="53"/>
      <c r="M26" s="2"/>
      <c r="N26" s="95"/>
      <c r="O26" s="73"/>
      <c r="P26" s="73"/>
      <c r="Q26" s="73"/>
      <c r="R26" s="73"/>
      <c r="S26" s="73"/>
      <c r="T26" s="2"/>
      <c r="U26" s="151"/>
      <c r="AA26" s="2"/>
      <c r="AC26" s="161"/>
      <c r="AD26" s="2"/>
      <c r="AE26" s="2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2"/>
      <c r="H27" s="74"/>
      <c r="I27" s="74"/>
      <c r="J27" s="74"/>
      <c r="K27" s="74"/>
      <c r="L27" s="53"/>
      <c r="M27" s="2"/>
      <c r="N27" s="75"/>
      <c r="O27" s="74"/>
      <c r="P27" s="74"/>
      <c r="Q27" s="74"/>
      <c r="R27" s="74"/>
      <c r="S27" s="74"/>
      <c r="T27" s="2"/>
      <c r="U27" s="131"/>
      <c r="AA27" s="2"/>
      <c r="AC27" s="181"/>
      <c r="AD27" s="2"/>
      <c r="AE27" s="2"/>
    </row>
    <row r="28" spans="1:34" ht="14.25" x14ac:dyDescent="0.2">
      <c r="A28" s="7" t="s">
        <v>15</v>
      </c>
      <c r="B28" s="22"/>
      <c r="C28" s="22"/>
      <c r="D28" s="22"/>
      <c r="E28" s="22"/>
      <c r="F28" s="22"/>
      <c r="G28" s="158">
        <v>15599</v>
      </c>
      <c r="H28" s="44"/>
      <c r="I28" s="45"/>
      <c r="J28" s="45"/>
      <c r="K28" s="45"/>
      <c r="L28" s="76"/>
      <c r="M28" s="159">
        <v>13</v>
      </c>
      <c r="N28" s="77">
        <f t="shared" si="4"/>
        <v>8.3338675556125397E-2</v>
      </c>
      <c r="O28" s="45"/>
      <c r="P28" s="45"/>
      <c r="Q28" s="45"/>
      <c r="R28" s="45"/>
      <c r="S28" s="45"/>
      <c r="T28" s="158">
        <v>13</v>
      </c>
      <c r="U28" s="133">
        <f t="shared" si="0"/>
        <v>8.3338675556125397E-2</v>
      </c>
      <c r="V28" s="45"/>
      <c r="W28" s="45"/>
      <c r="X28" s="45"/>
      <c r="Y28" s="45"/>
      <c r="Z28" s="45"/>
      <c r="AA28" s="159">
        <v>8</v>
      </c>
      <c r="AB28" s="104">
        <f t="shared" si="1"/>
        <v>5.1285338803769474E-2</v>
      </c>
      <c r="AC28" s="158">
        <v>3</v>
      </c>
      <c r="AD28" s="182">
        <v>6</v>
      </c>
      <c r="AE28" s="183">
        <v>63</v>
      </c>
    </row>
    <row r="29" spans="1:34" ht="14.25" x14ac:dyDescent="0.2">
      <c r="A29" s="11" t="s">
        <v>16</v>
      </c>
      <c r="B29" s="27"/>
      <c r="C29" s="27"/>
      <c r="D29" s="27"/>
      <c r="E29" s="27"/>
      <c r="F29" s="27"/>
      <c r="G29" s="163">
        <v>6701</v>
      </c>
      <c r="H29" s="60"/>
      <c r="I29" s="62"/>
      <c r="J29" s="62"/>
      <c r="K29" s="62"/>
      <c r="L29" s="48"/>
      <c r="M29" s="164">
        <v>34</v>
      </c>
      <c r="N29" s="78">
        <f t="shared" si="4"/>
        <v>0.50738695717057158</v>
      </c>
      <c r="O29" s="62"/>
      <c r="P29" s="62"/>
      <c r="Q29" s="62"/>
      <c r="R29" s="62"/>
      <c r="S29" s="62"/>
      <c r="T29" s="163">
        <v>29</v>
      </c>
      <c r="U29" s="92">
        <f t="shared" si="0"/>
        <v>0.43277122817489927</v>
      </c>
      <c r="V29" s="62"/>
      <c r="W29" s="62"/>
      <c r="X29" s="62"/>
      <c r="Y29" s="62"/>
      <c r="Z29" s="62"/>
      <c r="AA29" s="164">
        <v>13</v>
      </c>
      <c r="AB29" s="104">
        <f t="shared" si="1"/>
        <v>0.19400089538874796</v>
      </c>
      <c r="AC29" s="163">
        <v>11</v>
      </c>
      <c r="AD29" s="165">
        <v>4</v>
      </c>
      <c r="AE29" s="167">
        <v>92</v>
      </c>
    </row>
    <row r="30" spans="1:34" ht="14.25" x14ac:dyDescent="0.2">
      <c r="A30" s="11" t="s">
        <v>35</v>
      </c>
      <c r="B30" s="27"/>
      <c r="C30" s="27"/>
      <c r="D30" s="27"/>
      <c r="E30" s="27"/>
      <c r="F30" s="27"/>
      <c r="G30" s="163">
        <v>4777</v>
      </c>
      <c r="H30" s="60"/>
      <c r="I30" s="62"/>
      <c r="J30" s="62"/>
      <c r="K30" s="62"/>
      <c r="L30" s="48"/>
      <c r="M30" s="164">
        <v>9</v>
      </c>
      <c r="N30" s="78">
        <f t="shared" si="4"/>
        <v>0.18840276324052752</v>
      </c>
      <c r="O30" s="62"/>
      <c r="P30" s="62"/>
      <c r="Q30" s="62"/>
      <c r="R30" s="62"/>
      <c r="S30" s="62"/>
      <c r="T30" s="163">
        <v>28</v>
      </c>
      <c r="U30" s="92">
        <f t="shared" si="0"/>
        <v>0.58614193008164117</v>
      </c>
      <c r="V30" s="62"/>
      <c r="W30" s="62"/>
      <c r="X30" s="62"/>
      <c r="Y30" s="62"/>
      <c r="Z30" s="62"/>
      <c r="AA30" s="164">
        <v>3</v>
      </c>
      <c r="AB30" s="104">
        <f t="shared" si="1"/>
        <v>6.2800921080175848E-2</v>
      </c>
      <c r="AC30" s="163">
        <v>4</v>
      </c>
      <c r="AD30" s="165">
        <v>2</v>
      </c>
      <c r="AE30" s="167">
        <v>23</v>
      </c>
    </row>
    <row r="31" spans="1:34" ht="14.25" x14ac:dyDescent="0.2">
      <c r="A31" s="11" t="s">
        <v>17</v>
      </c>
      <c r="B31" s="27"/>
      <c r="C31" s="27"/>
      <c r="D31" s="27"/>
      <c r="E31" s="27"/>
      <c r="F31" s="27"/>
      <c r="G31" s="163">
        <v>33924</v>
      </c>
      <c r="H31" s="60"/>
      <c r="I31" s="62"/>
      <c r="J31" s="62"/>
      <c r="K31" s="62"/>
      <c r="L31" s="48"/>
      <c r="M31" s="164">
        <v>18</v>
      </c>
      <c r="N31" s="78">
        <f t="shared" si="4"/>
        <v>5.305978068623983E-2</v>
      </c>
      <c r="O31" s="62"/>
      <c r="P31" s="62"/>
      <c r="Q31" s="62"/>
      <c r="R31" s="62"/>
      <c r="S31" s="62"/>
      <c r="T31" s="163">
        <v>31</v>
      </c>
      <c r="U31" s="92">
        <f t="shared" si="0"/>
        <v>9.1380733404079706E-2</v>
      </c>
      <c r="V31" s="62"/>
      <c r="W31" s="62"/>
      <c r="X31" s="62"/>
      <c r="Y31" s="62"/>
      <c r="Z31" s="62"/>
      <c r="AA31" s="164">
        <v>11</v>
      </c>
      <c r="AB31" s="104">
        <f t="shared" si="1"/>
        <v>3.2425421530479899E-2</v>
      </c>
      <c r="AC31" s="163">
        <v>6</v>
      </c>
      <c r="AD31" s="165">
        <v>0</v>
      </c>
      <c r="AE31" s="167">
        <v>213</v>
      </c>
      <c r="AH31" t="s">
        <v>53</v>
      </c>
    </row>
    <row r="32" spans="1:34" ht="14.25" x14ac:dyDescent="0.2">
      <c r="A32" s="11" t="s">
        <v>18</v>
      </c>
      <c r="B32" s="27"/>
      <c r="C32" s="27"/>
      <c r="D32" s="27"/>
      <c r="E32" s="27"/>
      <c r="F32" s="27"/>
      <c r="G32" s="163">
        <v>10209</v>
      </c>
      <c r="H32" s="60"/>
      <c r="I32" s="62"/>
      <c r="J32" s="62"/>
      <c r="K32" s="62"/>
      <c r="L32" s="48"/>
      <c r="M32" s="164">
        <v>8</v>
      </c>
      <c r="N32" s="78">
        <f t="shared" si="4"/>
        <v>7.8362229405426587E-2</v>
      </c>
      <c r="O32" s="62"/>
      <c r="P32" s="62"/>
      <c r="Q32" s="62"/>
      <c r="R32" s="62"/>
      <c r="S32" s="62"/>
      <c r="T32" s="163">
        <v>20</v>
      </c>
      <c r="U32" s="92">
        <f t="shared" si="0"/>
        <v>0.19590557351356647</v>
      </c>
      <c r="V32" s="62"/>
      <c r="W32" s="62"/>
      <c r="X32" s="62"/>
      <c r="Y32" s="62"/>
      <c r="Z32" s="62"/>
      <c r="AA32" s="164">
        <v>8</v>
      </c>
      <c r="AB32" s="104">
        <f t="shared" si="1"/>
        <v>7.8362229405426587E-2</v>
      </c>
      <c r="AC32" s="163">
        <v>8</v>
      </c>
      <c r="AD32" s="165">
        <v>2</v>
      </c>
      <c r="AE32" s="167">
        <v>46</v>
      </c>
    </row>
    <row r="33" spans="1:32" ht="14.25" x14ac:dyDescent="0.2">
      <c r="A33" s="11" t="s">
        <v>19</v>
      </c>
      <c r="B33" s="27"/>
      <c r="C33" s="27"/>
      <c r="D33" s="27"/>
      <c r="E33" s="27"/>
      <c r="F33" s="27"/>
      <c r="G33" s="163">
        <v>46511</v>
      </c>
      <c r="H33" s="60"/>
      <c r="I33" s="62"/>
      <c r="J33" s="62"/>
      <c r="K33" s="62"/>
      <c r="L33" s="48"/>
      <c r="M33" s="164">
        <v>122</v>
      </c>
      <c r="N33" s="78">
        <f t="shared" si="4"/>
        <v>0.26230354109780479</v>
      </c>
      <c r="O33" s="62"/>
      <c r="P33" s="62"/>
      <c r="Q33" s="62"/>
      <c r="R33" s="62"/>
      <c r="S33" s="62"/>
      <c r="T33" s="163">
        <v>153</v>
      </c>
      <c r="U33" s="92">
        <f t="shared" si="0"/>
        <v>0.32895444088495196</v>
      </c>
      <c r="V33" s="62"/>
      <c r="W33" s="62"/>
      <c r="X33" s="62"/>
      <c r="Y33" s="62"/>
      <c r="Z33" s="62"/>
      <c r="AA33" s="164">
        <v>35</v>
      </c>
      <c r="AB33" s="104">
        <f t="shared" si="1"/>
        <v>7.5251015888714495E-2</v>
      </c>
      <c r="AC33" s="163">
        <v>74</v>
      </c>
      <c r="AD33" s="165">
        <v>12</v>
      </c>
      <c r="AE33" s="167">
        <v>474</v>
      </c>
    </row>
    <row r="34" spans="1:32" ht="14.25" x14ac:dyDescent="0.2">
      <c r="A34" s="11" t="s">
        <v>20</v>
      </c>
      <c r="B34" s="27"/>
      <c r="C34" s="27"/>
      <c r="D34" s="27"/>
      <c r="E34" s="27"/>
      <c r="F34" s="27"/>
      <c r="G34" s="163">
        <v>34775</v>
      </c>
      <c r="H34" s="60"/>
      <c r="I34" s="62"/>
      <c r="J34" s="62"/>
      <c r="K34" s="62"/>
      <c r="L34" s="48"/>
      <c r="M34" s="164">
        <v>55</v>
      </c>
      <c r="N34" s="78">
        <f t="shared" si="4"/>
        <v>0.15815959741193386</v>
      </c>
      <c r="O34" s="62"/>
      <c r="P34" s="62"/>
      <c r="Q34" s="62"/>
      <c r="R34" s="62"/>
      <c r="S34" s="62"/>
      <c r="T34" s="163">
        <v>92</v>
      </c>
      <c r="U34" s="92">
        <f t="shared" si="0"/>
        <v>0.26455787203450754</v>
      </c>
      <c r="V34" s="62"/>
      <c r="W34" s="62"/>
      <c r="X34" s="62"/>
      <c r="Y34" s="62"/>
      <c r="Z34" s="62"/>
      <c r="AA34" s="164">
        <v>35</v>
      </c>
      <c r="AB34" s="104">
        <f t="shared" si="1"/>
        <v>0.100647016534867</v>
      </c>
      <c r="AC34" s="163">
        <v>36</v>
      </c>
      <c r="AD34" s="165">
        <v>7</v>
      </c>
      <c r="AE34" s="167">
        <v>345</v>
      </c>
    </row>
    <row r="35" spans="1:32" ht="14.25" x14ac:dyDescent="0.2">
      <c r="A35" s="11" t="s">
        <v>25</v>
      </c>
      <c r="B35" s="27"/>
      <c r="C35" s="27"/>
      <c r="D35" s="27"/>
      <c r="E35" s="27"/>
      <c r="F35" s="27"/>
      <c r="G35" s="163">
        <v>222</v>
      </c>
      <c r="H35" s="60"/>
      <c r="I35" s="62"/>
      <c r="J35" s="62"/>
      <c r="K35" s="62"/>
      <c r="L35" s="48"/>
      <c r="M35" s="164">
        <v>0</v>
      </c>
      <c r="N35" s="78">
        <f t="shared" si="4"/>
        <v>0</v>
      </c>
      <c r="O35" s="62"/>
      <c r="P35" s="62"/>
      <c r="Q35" s="62"/>
      <c r="R35" s="62"/>
      <c r="S35" s="62"/>
      <c r="T35" s="163">
        <v>5</v>
      </c>
      <c r="U35" s="92">
        <f t="shared" si="0"/>
        <v>2.2522522522522523</v>
      </c>
      <c r="V35" s="62"/>
      <c r="W35" s="62"/>
      <c r="X35" s="62"/>
      <c r="Y35" s="62"/>
      <c r="Z35" s="62"/>
      <c r="AA35" s="164">
        <v>0</v>
      </c>
      <c r="AB35" s="104">
        <f t="shared" si="1"/>
        <v>0</v>
      </c>
      <c r="AC35" s="163">
        <v>1</v>
      </c>
      <c r="AD35" s="165">
        <v>0</v>
      </c>
      <c r="AE35" s="167">
        <v>31</v>
      </c>
    </row>
    <row r="36" spans="1:32" ht="15" thickBot="1" x14ac:dyDescent="0.25">
      <c r="A36" s="12" t="s">
        <v>26</v>
      </c>
      <c r="B36" s="29"/>
      <c r="C36" s="29"/>
      <c r="D36" s="27"/>
      <c r="E36" s="29"/>
      <c r="F36" s="29"/>
      <c r="G36" s="168">
        <v>343648</v>
      </c>
      <c r="H36" s="67"/>
      <c r="I36" s="68"/>
      <c r="J36" s="68"/>
      <c r="K36" s="68"/>
      <c r="L36" s="69"/>
      <c r="M36" s="169">
        <v>447</v>
      </c>
      <c r="N36" s="96">
        <f t="shared" si="4"/>
        <v>0.13007496042462055</v>
      </c>
      <c r="O36" s="68"/>
      <c r="P36" s="68"/>
      <c r="Q36" s="68"/>
      <c r="R36" s="68"/>
      <c r="S36" s="68"/>
      <c r="T36" s="168">
        <v>720</v>
      </c>
      <c r="U36" s="142">
        <f t="shared" si="0"/>
        <v>0.20951671477791228</v>
      </c>
      <c r="V36" s="68"/>
      <c r="W36" s="68"/>
      <c r="X36" s="68"/>
      <c r="Y36" s="68"/>
      <c r="Z36" s="68"/>
      <c r="AA36" s="169">
        <v>230</v>
      </c>
      <c r="AB36" s="105">
        <f t="shared" si="1"/>
        <v>6.6928950554055316E-2</v>
      </c>
      <c r="AC36" s="168">
        <v>181</v>
      </c>
      <c r="AD36" s="170">
        <v>46</v>
      </c>
      <c r="AE36" s="184">
        <v>3146</v>
      </c>
    </row>
    <row r="37" spans="1:32" ht="15.75" thickBot="1" x14ac:dyDescent="0.3">
      <c r="A37" s="13" t="s">
        <v>21</v>
      </c>
      <c r="B37" s="30">
        <f t="shared" ref="B37:L37" si="10">SUM(B28:B36)</f>
        <v>0</v>
      </c>
      <c r="C37" s="30">
        <f t="shared" si="10"/>
        <v>0</v>
      </c>
      <c r="D37" s="30">
        <f t="shared" si="10"/>
        <v>0</v>
      </c>
      <c r="E37" s="30">
        <f t="shared" si="10"/>
        <v>0</v>
      </c>
      <c r="F37" s="30">
        <f t="shared" si="10"/>
        <v>0</v>
      </c>
      <c r="G37" s="108">
        <f>SUM(G28:G36)</f>
        <v>496366</v>
      </c>
      <c r="H37" s="71">
        <f t="shared" si="10"/>
        <v>0</v>
      </c>
      <c r="I37" s="72">
        <f t="shared" si="10"/>
        <v>0</v>
      </c>
      <c r="J37" s="72">
        <f t="shared" si="10"/>
        <v>0</v>
      </c>
      <c r="K37" s="72">
        <f t="shared" si="10"/>
        <v>0</v>
      </c>
      <c r="L37" s="72">
        <f t="shared" si="10"/>
        <v>0</v>
      </c>
      <c r="M37" s="177">
        <v>706</v>
      </c>
      <c r="N37" s="118">
        <f t="shared" si="4"/>
        <v>0.14223375493083731</v>
      </c>
      <c r="O37" s="116">
        <f>SUM(O28:O36)</f>
        <v>0</v>
      </c>
      <c r="P37" s="116">
        <f>SUM(P28:P36)</f>
        <v>0</v>
      </c>
      <c r="Q37" s="116">
        <f>SUM(Q28:Q36)</f>
        <v>0</v>
      </c>
      <c r="R37" s="116">
        <f>SUM(R28:R36)</f>
        <v>0</v>
      </c>
      <c r="S37" s="116">
        <f>SUM(S28:S36)</f>
        <v>0</v>
      </c>
      <c r="T37" s="108">
        <v>1091</v>
      </c>
      <c r="U37" s="91">
        <f t="shared" si="0"/>
        <v>0.21979748814382935</v>
      </c>
      <c r="V37" s="116">
        <f>SUM(V28:V36)</f>
        <v>0</v>
      </c>
      <c r="W37" s="116">
        <f>SUM(W28:W36)</f>
        <v>0</v>
      </c>
      <c r="X37" s="116">
        <f>SUM(X28:X36)</f>
        <v>0</v>
      </c>
      <c r="Y37" s="116">
        <f>SUM(Y28:Y36)</f>
        <v>0</v>
      </c>
      <c r="Z37" s="116">
        <f>SUM(Z28:Z36)</f>
        <v>0</v>
      </c>
      <c r="AA37" s="177">
        <v>343</v>
      </c>
      <c r="AB37" s="106">
        <f t="shared" si="1"/>
        <v>6.9102235044301991E-2</v>
      </c>
      <c r="AC37" s="108">
        <v>324</v>
      </c>
      <c r="AD37" s="178">
        <v>79</v>
      </c>
      <c r="AE37" s="188">
        <v>4433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61"/>
      <c r="H38" s="97"/>
      <c r="I38" s="97"/>
      <c r="J38" s="97"/>
      <c r="K38" s="97"/>
      <c r="L38" s="53"/>
      <c r="M38" s="161"/>
      <c r="N38" s="128"/>
      <c r="O38" s="97"/>
      <c r="P38" s="97"/>
      <c r="Q38" s="97"/>
      <c r="R38" s="97"/>
      <c r="S38" s="97"/>
      <c r="T38" s="161"/>
      <c r="U38" s="130"/>
      <c r="AA38" s="161"/>
      <c r="AC38" s="161"/>
      <c r="AD38" s="161"/>
      <c r="AE38" s="161"/>
    </row>
    <row r="39" spans="1:32" ht="15.75" thickBot="1" x14ac:dyDescent="0.3">
      <c r="A39" s="15" t="s">
        <v>28</v>
      </c>
      <c r="B39" s="34"/>
      <c r="C39" s="34"/>
      <c r="D39" s="34"/>
      <c r="E39" s="34"/>
      <c r="F39" s="34"/>
      <c r="G39" s="181"/>
      <c r="H39" s="80"/>
      <c r="I39" s="80"/>
      <c r="J39" s="80"/>
      <c r="K39" s="80"/>
      <c r="L39" s="81"/>
      <c r="M39" s="181"/>
      <c r="N39" s="129"/>
      <c r="O39" s="80"/>
      <c r="P39" s="80"/>
      <c r="Q39" s="80"/>
      <c r="R39" s="80"/>
      <c r="S39" s="80"/>
      <c r="T39" s="181"/>
      <c r="U39" s="131"/>
      <c r="AA39" s="181"/>
      <c r="AC39" s="181"/>
      <c r="AD39" s="181"/>
      <c r="AE39" s="181"/>
    </row>
    <row r="40" spans="1:32" ht="15.75" thickBot="1" x14ac:dyDescent="0.3">
      <c r="A40" s="7" t="s">
        <v>41</v>
      </c>
      <c r="B40" s="22"/>
      <c r="C40" s="22"/>
      <c r="D40" s="22"/>
      <c r="E40" s="22"/>
      <c r="F40" s="22"/>
      <c r="G40" s="158">
        <v>484</v>
      </c>
      <c r="H40" s="44"/>
      <c r="I40" s="45"/>
      <c r="J40" s="45"/>
      <c r="K40" s="45"/>
      <c r="L40" s="83"/>
      <c r="M40" s="159">
        <v>13</v>
      </c>
      <c r="N40" s="144">
        <f t="shared" si="4"/>
        <v>2.6859504132231407</v>
      </c>
      <c r="O40" s="45"/>
      <c r="P40" s="45"/>
      <c r="Q40" s="45"/>
      <c r="R40" s="45"/>
      <c r="S40" s="45"/>
      <c r="T40" s="158">
        <v>6</v>
      </c>
      <c r="U40" s="133">
        <f t="shared" si="0"/>
        <v>1.2396694214876034</v>
      </c>
      <c r="AA40" s="159">
        <v>4</v>
      </c>
      <c r="AB40" s="107">
        <f t="shared" si="1"/>
        <v>0.82644628099173556</v>
      </c>
      <c r="AC40" s="158">
        <v>1</v>
      </c>
      <c r="AD40" s="182">
        <v>0</v>
      </c>
      <c r="AE40" s="183">
        <v>2</v>
      </c>
    </row>
    <row r="41" spans="1:32" ht="15.75" thickBot="1" x14ac:dyDescent="0.3">
      <c r="A41" s="12" t="s">
        <v>27</v>
      </c>
      <c r="B41" s="29"/>
      <c r="C41" s="29"/>
      <c r="D41" s="35"/>
      <c r="E41" s="29"/>
      <c r="F41" s="29"/>
      <c r="G41" s="158">
        <v>276251</v>
      </c>
      <c r="H41" s="67"/>
      <c r="I41" s="68"/>
      <c r="J41" s="68"/>
      <c r="K41" s="68"/>
      <c r="L41" s="69"/>
      <c r="M41" s="169">
        <v>104</v>
      </c>
      <c r="N41" s="145">
        <f t="shared" si="4"/>
        <v>3.7646922545076761E-2</v>
      </c>
      <c r="O41" s="68"/>
      <c r="P41" s="68"/>
      <c r="Q41" s="68"/>
      <c r="R41" s="68"/>
      <c r="S41" s="68"/>
      <c r="T41" s="168">
        <v>104</v>
      </c>
      <c r="U41" s="93">
        <f t="shared" si="0"/>
        <v>3.7646922545076761E-2</v>
      </c>
      <c r="AA41" s="169">
        <v>37</v>
      </c>
      <c r="AB41" s="105">
        <f t="shared" si="1"/>
        <v>1.3393616674690771E-2</v>
      </c>
      <c r="AC41" s="168">
        <v>10</v>
      </c>
      <c r="AD41" s="170">
        <v>15</v>
      </c>
      <c r="AE41" s="184">
        <v>355</v>
      </c>
    </row>
    <row r="42" spans="1:32" ht="15.75" thickBot="1" x14ac:dyDescent="0.3">
      <c r="A42" s="13" t="s">
        <v>21</v>
      </c>
      <c r="B42" s="30">
        <f t="shared" ref="B42:L42" si="11">SUM(B40:B41)</f>
        <v>0</v>
      </c>
      <c r="C42" s="30">
        <f t="shared" si="11"/>
        <v>0</v>
      </c>
      <c r="D42" s="30">
        <f t="shared" si="11"/>
        <v>0</v>
      </c>
      <c r="E42" s="30">
        <f t="shared" si="11"/>
        <v>0</v>
      </c>
      <c r="F42" s="30">
        <f t="shared" si="11"/>
        <v>0</v>
      </c>
      <c r="G42" s="108">
        <f>SUM(G40:G41)</f>
        <v>276735</v>
      </c>
      <c r="H42" s="120">
        <f t="shared" si="11"/>
        <v>0</v>
      </c>
      <c r="I42" s="120">
        <f t="shared" si="11"/>
        <v>0</v>
      </c>
      <c r="J42" s="120">
        <f t="shared" si="11"/>
        <v>0</v>
      </c>
      <c r="K42" s="120">
        <f t="shared" si="11"/>
        <v>0</v>
      </c>
      <c r="L42" s="120">
        <f t="shared" si="11"/>
        <v>0</v>
      </c>
      <c r="M42" s="108">
        <f>SUM(M40:M41)</f>
        <v>117</v>
      </c>
      <c r="N42" s="149">
        <f t="shared" si="4"/>
        <v>4.2278714293457642E-2</v>
      </c>
      <c r="O42" s="72">
        <f t="shared" ref="O42:T42" si="12">SUM(O40:O41)</f>
        <v>0</v>
      </c>
      <c r="P42" s="72">
        <f t="shared" si="12"/>
        <v>0</v>
      </c>
      <c r="Q42" s="72">
        <f t="shared" si="12"/>
        <v>0</v>
      </c>
      <c r="R42" s="72">
        <f t="shared" si="12"/>
        <v>0</v>
      </c>
      <c r="S42" s="72">
        <f t="shared" si="12"/>
        <v>0</v>
      </c>
      <c r="T42" s="108">
        <f t="shared" si="12"/>
        <v>110</v>
      </c>
      <c r="U42" s="94">
        <f t="shared" si="0"/>
        <v>3.9749218566498636E-2</v>
      </c>
      <c r="V42" s="108">
        <f t="shared" ref="V42:AA42" si="13">SUM(V40:V41)</f>
        <v>0</v>
      </c>
      <c r="W42" s="108">
        <f t="shared" si="13"/>
        <v>0</v>
      </c>
      <c r="X42" s="108">
        <f t="shared" si="13"/>
        <v>0</v>
      </c>
      <c r="Y42" s="108">
        <f t="shared" si="13"/>
        <v>0</v>
      </c>
      <c r="Z42" s="108">
        <f t="shared" si="13"/>
        <v>0</v>
      </c>
      <c r="AA42" s="108">
        <f t="shared" si="13"/>
        <v>41</v>
      </c>
      <c r="AB42" s="106">
        <f t="shared" si="1"/>
        <v>1.481561782933131E-2</v>
      </c>
      <c r="AC42" s="108">
        <f>SUM(AC40:AC41)</f>
        <v>11</v>
      </c>
      <c r="AD42" s="108">
        <f>SUM(AD40:AD41)</f>
        <v>15</v>
      </c>
      <c r="AE42" s="108">
        <f>SUM(AE40:AE41)</f>
        <v>357</v>
      </c>
    </row>
    <row r="43" spans="1:32" ht="46.5" thickBot="1" x14ac:dyDescent="0.3">
      <c r="A43" s="134" t="s">
        <v>49</v>
      </c>
      <c r="B43" s="135" t="s">
        <v>38</v>
      </c>
      <c r="C43" s="136"/>
      <c r="D43" s="137" t="s">
        <v>39</v>
      </c>
      <c r="E43" s="138"/>
      <c r="F43" s="138"/>
      <c r="G43" s="139">
        <f>G11+G25+G37+G42</f>
        <v>791261</v>
      </c>
      <c r="H43" s="139">
        <f t="shared" ref="H43:AC43" si="14">H11+H25+H37+H42</f>
        <v>0</v>
      </c>
      <c r="I43" s="139">
        <f t="shared" si="14"/>
        <v>0</v>
      </c>
      <c r="J43" s="139">
        <f t="shared" si="14"/>
        <v>0</v>
      </c>
      <c r="K43" s="139">
        <f t="shared" si="14"/>
        <v>0</v>
      </c>
      <c r="L43" s="139">
        <f t="shared" si="14"/>
        <v>0</v>
      </c>
      <c r="M43" s="141">
        <f t="shared" si="14"/>
        <v>858</v>
      </c>
      <c r="N43" s="146">
        <f t="shared" si="4"/>
        <v>0.10843451149494288</v>
      </c>
      <c r="O43" s="147">
        <f t="shared" si="14"/>
        <v>0</v>
      </c>
      <c r="P43" s="148">
        <f t="shared" si="14"/>
        <v>0</v>
      </c>
      <c r="Q43" s="148">
        <f t="shared" si="14"/>
        <v>0</v>
      </c>
      <c r="R43" s="148">
        <f t="shared" si="14"/>
        <v>0</v>
      </c>
      <c r="S43" s="148">
        <f t="shared" si="14"/>
        <v>0</v>
      </c>
      <c r="T43" s="148">
        <f t="shared" si="14"/>
        <v>1298</v>
      </c>
      <c r="U43" s="94">
        <f t="shared" si="0"/>
        <v>0.16404195328722129</v>
      </c>
      <c r="V43" s="140">
        <f t="shared" si="14"/>
        <v>0</v>
      </c>
      <c r="W43" s="140">
        <f t="shared" si="14"/>
        <v>0</v>
      </c>
      <c r="X43" s="140">
        <f t="shared" si="14"/>
        <v>0</v>
      </c>
      <c r="Y43" s="140">
        <f t="shared" si="14"/>
        <v>0</v>
      </c>
      <c r="Z43" s="140">
        <f t="shared" si="14"/>
        <v>0</v>
      </c>
      <c r="AA43" s="140">
        <f t="shared" si="14"/>
        <v>422</v>
      </c>
      <c r="AB43" s="106">
        <f t="shared" si="1"/>
        <v>5.3332591900776105E-2</v>
      </c>
      <c r="AC43" s="140">
        <f t="shared" si="14"/>
        <v>350</v>
      </c>
      <c r="AD43" s="140">
        <f>AD11+AD25+AD37+AD42</f>
        <v>103</v>
      </c>
      <c r="AE43" s="140">
        <f>AE11+AE25+AE37+AE42</f>
        <v>5284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pageSetUpPr fitToPage="1"/>
  </sheetPr>
  <dimension ref="A1:AJ46"/>
  <sheetViews>
    <sheetView topLeftCell="A19" zoomScale="80" zoomScaleNormal="80" workbookViewId="0">
      <selection activeCell="M6" sqref="M6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376" customFormat="1" ht="18" x14ac:dyDescent="0.25">
      <c r="A1" s="730" t="s">
        <v>118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376" customFormat="1" ht="9" customHeight="1" thickBot="1" x14ac:dyDescent="0.3"/>
    <row r="3" spans="1:36" ht="66.7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s="368" t="s">
        <v>116</v>
      </c>
      <c r="AA3" s="378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377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7" t="s">
        <v>1</v>
      </c>
      <c r="B6" s="22">
        <v>126</v>
      </c>
      <c r="C6" s="22">
        <v>35</v>
      </c>
      <c r="D6" s="22">
        <v>133</v>
      </c>
      <c r="E6" s="22">
        <v>88</v>
      </c>
      <c r="F6" s="22">
        <v>36</v>
      </c>
      <c r="G6" s="121">
        <f>SUM(B6:F6)</f>
        <v>418</v>
      </c>
      <c r="H6" s="44">
        <v>0</v>
      </c>
      <c r="I6" s="45">
        <v>0</v>
      </c>
      <c r="J6" s="45">
        <f>Düsseldorf14!C6</f>
        <v>0</v>
      </c>
      <c r="K6" s="45">
        <f>Kölle14!C6</f>
        <v>0</v>
      </c>
      <c r="L6" s="46">
        <v>1</v>
      </c>
      <c r="M6" s="217">
        <f>SUM(H6:L6)</f>
        <v>1</v>
      </c>
      <c r="N6" s="47">
        <f>M6*100/G6</f>
        <v>0.23923444976076555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217">
        <f>SUM(O6:S6)</f>
        <v>0</v>
      </c>
      <c r="U6" s="133">
        <f>T6*100/G6</f>
        <v>0</v>
      </c>
      <c r="V6" s="45">
        <v>0</v>
      </c>
      <c r="W6" s="45">
        <f>Detmold14!E6</f>
        <v>0</v>
      </c>
      <c r="X6" s="45">
        <v>2</v>
      </c>
      <c r="Y6" s="45">
        <v>0</v>
      </c>
      <c r="Z6" s="45">
        <v>0</v>
      </c>
      <c r="AA6" s="215">
        <f>SUM(V6:Z6)</f>
        <v>2</v>
      </c>
      <c r="AB6" s="216">
        <f>AA6*100/G6</f>
        <v>0.4784688995215311</v>
      </c>
      <c r="AC6" s="217">
        <f>Arnsberg14!F6+Detmold14!F6+Düsseldorf14!F6+Kölle14!F6+Münster14!F6</f>
        <v>0</v>
      </c>
      <c r="AD6" s="217">
        <v>0</v>
      </c>
      <c r="AE6" s="217">
        <v>8</v>
      </c>
    </row>
    <row r="7" spans="1:36" ht="15" thickBot="1" x14ac:dyDescent="0.25">
      <c r="A7" s="8" t="s">
        <v>2</v>
      </c>
      <c r="B7" s="22">
        <v>916</v>
      </c>
      <c r="C7" s="22">
        <v>168</v>
      </c>
      <c r="D7" s="22">
        <v>752</v>
      </c>
      <c r="E7" s="22">
        <v>582</v>
      </c>
      <c r="F7" s="22">
        <v>302</v>
      </c>
      <c r="G7" s="121">
        <f>SUM(B7:F7)</f>
        <v>2720</v>
      </c>
      <c r="H7" s="44">
        <v>0</v>
      </c>
      <c r="I7" s="45">
        <v>2</v>
      </c>
      <c r="J7" s="45">
        <v>3</v>
      </c>
      <c r="K7" s="45">
        <v>0</v>
      </c>
      <c r="L7" s="46">
        <v>0</v>
      </c>
      <c r="M7" s="372">
        <f>SUM(H7:L7)</f>
        <v>5</v>
      </c>
      <c r="N7" s="49">
        <f>M7*100/G7</f>
        <v>0.18382352941176472</v>
      </c>
      <c r="O7" s="45">
        <v>4</v>
      </c>
      <c r="P7" s="45">
        <v>1</v>
      </c>
      <c r="Q7" s="45">
        <v>4</v>
      </c>
      <c r="R7" s="45">
        <v>7</v>
      </c>
      <c r="S7" s="45">
        <v>1</v>
      </c>
      <c r="T7" s="372">
        <f>SUM(O7:S7)</f>
        <v>17</v>
      </c>
      <c r="U7" s="92">
        <f>T7*100/G7</f>
        <v>0.625</v>
      </c>
      <c r="V7" s="45">
        <v>2</v>
      </c>
      <c r="W7" s="45">
        <f>Detmold14!E7</f>
        <v>0</v>
      </c>
      <c r="X7" s="45">
        <v>8</v>
      </c>
      <c r="Y7" s="45">
        <v>2</v>
      </c>
      <c r="Z7" s="45">
        <v>0</v>
      </c>
      <c r="AA7" s="215">
        <f>SUM(V7:Z7)</f>
        <v>12</v>
      </c>
      <c r="AB7" s="104">
        <f>AA7*100/G7</f>
        <v>0.44117647058823528</v>
      </c>
      <c r="AC7" s="217">
        <v>2</v>
      </c>
      <c r="AD7" s="217">
        <v>0</v>
      </c>
      <c r="AE7" s="217">
        <v>61</v>
      </c>
    </row>
    <row r="8" spans="1:36" ht="15" thickBot="1" x14ac:dyDescent="0.25">
      <c r="A8" s="8" t="s">
        <v>14</v>
      </c>
      <c r="B8" s="22">
        <v>75</v>
      </c>
      <c r="C8" s="22">
        <v>36</v>
      </c>
      <c r="D8" s="22">
        <v>104</v>
      </c>
      <c r="E8" s="22">
        <v>97</v>
      </c>
      <c r="F8" s="22">
        <v>34</v>
      </c>
      <c r="G8" s="121">
        <f>SUM(B8:F8)</f>
        <v>346</v>
      </c>
      <c r="H8" s="44">
        <v>0</v>
      </c>
      <c r="I8" s="45">
        <v>0</v>
      </c>
      <c r="J8" s="45">
        <v>0</v>
      </c>
      <c r="K8" s="45">
        <f>Kölle14!C8</f>
        <v>0</v>
      </c>
      <c r="L8" s="46">
        <f>Münster14!C8</f>
        <v>0</v>
      </c>
      <c r="M8" s="217">
        <f>SUM(H8:L8)</f>
        <v>0</v>
      </c>
      <c r="N8" s="49">
        <f>M8*100/G8</f>
        <v>0</v>
      </c>
      <c r="O8" s="45">
        <v>0</v>
      </c>
      <c r="P8" s="45">
        <v>0</v>
      </c>
      <c r="Q8" s="45">
        <v>1</v>
      </c>
      <c r="R8" s="45">
        <v>0</v>
      </c>
      <c r="S8" s="45">
        <v>0</v>
      </c>
      <c r="T8" s="217">
        <f>SUM(O8:S8)</f>
        <v>1</v>
      </c>
      <c r="U8" s="92">
        <f t="shared" ref="U8:U43" si="0">T8*100/G8</f>
        <v>0.28901734104046245</v>
      </c>
      <c r="V8" s="45">
        <v>0</v>
      </c>
      <c r="W8" s="45">
        <f>Detmold14!E8</f>
        <v>0</v>
      </c>
      <c r="X8" s="45">
        <v>1</v>
      </c>
      <c r="Y8" s="45">
        <v>0</v>
      </c>
      <c r="Z8" s="45">
        <v>0</v>
      </c>
      <c r="AA8" s="215">
        <f>SUM(V8:Z8)</f>
        <v>1</v>
      </c>
      <c r="AB8" s="104">
        <f t="shared" ref="AB8:AB43" si="1">AA8*100/G8</f>
        <v>0.28901734104046245</v>
      </c>
      <c r="AC8" s="217">
        <v>1</v>
      </c>
      <c r="AD8" s="217">
        <v>0</v>
      </c>
      <c r="AE8" s="217">
        <v>6</v>
      </c>
    </row>
    <row r="9" spans="1:36" ht="15" thickBot="1" x14ac:dyDescent="0.25">
      <c r="A9" s="9" t="s">
        <v>3</v>
      </c>
      <c r="B9" s="22">
        <v>146</v>
      </c>
      <c r="C9" s="22">
        <v>63</v>
      </c>
      <c r="D9" s="22">
        <v>166</v>
      </c>
      <c r="E9" s="22">
        <v>122</v>
      </c>
      <c r="F9" s="22">
        <v>31</v>
      </c>
      <c r="G9" s="121">
        <f>SUM(B9:F9)</f>
        <v>528</v>
      </c>
      <c r="H9" s="44">
        <v>0</v>
      </c>
      <c r="I9" s="45">
        <v>0</v>
      </c>
      <c r="J9" s="45">
        <v>1</v>
      </c>
      <c r="K9" s="45">
        <f>Kölle14!C9</f>
        <v>0</v>
      </c>
      <c r="L9" s="46">
        <f>Münster14!C9</f>
        <v>0</v>
      </c>
      <c r="M9" s="372">
        <f>SUM(H9:L9)</f>
        <v>1</v>
      </c>
      <c r="N9" s="49">
        <f>M9*100/G9</f>
        <v>0.18939393939393939</v>
      </c>
      <c r="O9" s="45">
        <v>0</v>
      </c>
      <c r="P9" s="45">
        <v>1</v>
      </c>
      <c r="Q9" s="45">
        <v>1</v>
      </c>
      <c r="R9" s="45">
        <v>0</v>
      </c>
      <c r="S9" s="45">
        <v>0</v>
      </c>
      <c r="T9" s="372">
        <f>SUM(O9:S9)</f>
        <v>2</v>
      </c>
      <c r="U9" s="92">
        <f t="shared" si="0"/>
        <v>0.37878787878787878</v>
      </c>
      <c r="V9" s="45">
        <v>0</v>
      </c>
      <c r="W9" s="45">
        <f>Detmold14!E9</f>
        <v>0</v>
      </c>
      <c r="X9" s="45">
        <v>3</v>
      </c>
      <c r="Y9" s="45">
        <v>0</v>
      </c>
      <c r="Z9" s="45">
        <v>1</v>
      </c>
      <c r="AA9" s="215">
        <f>SUM(V9:Z9)</f>
        <v>4</v>
      </c>
      <c r="AB9" s="104">
        <f t="shared" si="1"/>
        <v>0.75757575757575757</v>
      </c>
      <c r="AC9" s="217">
        <f>Arnsberg14!F9+Detmold14!F9+Düsseldorf14!F9+Kölle14!F9+Münster14!F9</f>
        <v>0</v>
      </c>
      <c r="AD9" s="217">
        <v>0</v>
      </c>
      <c r="AE9" s="217">
        <v>10</v>
      </c>
    </row>
    <row r="10" spans="1:36" ht="24.75" thickBot="1" x14ac:dyDescent="0.25">
      <c r="A10" s="18" t="s">
        <v>23</v>
      </c>
      <c r="B10" s="22">
        <v>1042</v>
      </c>
      <c r="C10" s="22">
        <v>194</v>
      </c>
      <c r="D10" s="22">
        <v>916</v>
      </c>
      <c r="E10" s="22">
        <v>828</v>
      </c>
      <c r="F10" s="22">
        <v>319</v>
      </c>
      <c r="G10" s="121">
        <f>SUM(B10:F10)</f>
        <v>3299</v>
      </c>
      <c r="H10" s="44">
        <v>0</v>
      </c>
      <c r="I10" s="45">
        <v>0</v>
      </c>
      <c r="J10" s="45">
        <v>0</v>
      </c>
      <c r="K10" s="45">
        <v>3</v>
      </c>
      <c r="L10" s="46">
        <v>0</v>
      </c>
      <c r="M10" s="372">
        <f>SUM(H10:L10)</f>
        <v>3</v>
      </c>
      <c r="N10" s="70">
        <f>M10*100/G10</f>
        <v>9.0936647468929974E-2</v>
      </c>
      <c r="O10" s="45">
        <v>2</v>
      </c>
      <c r="P10" s="45">
        <v>0</v>
      </c>
      <c r="Q10" s="45">
        <v>3</v>
      </c>
      <c r="R10" s="45">
        <v>4</v>
      </c>
      <c r="S10" s="45">
        <v>0</v>
      </c>
      <c r="T10" s="84">
        <f>SUM(O10:S10)</f>
        <v>9</v>
      </c>
      <c r="U10" s="143">
        <f t="shared" si="0"/>
        <v>0.27280994240678996</v>
      </c>
      <c r="V10" s="45">
        <v>1</v>
      </c>
      <c r="W10" s="45">
        <f>Detmold14!E10</f>
        <v>0</v>
      </c>
      <c r="X10" s="45">
        <v>5</v>
      </c>
      <c r="Y10" s="45">
        <v>0</v>
      </c>
      <c r="Z10" s="45">
        <v>1</v>
      </c>
      <c r="AA10" s="215">
        <f>SUM(V10:Z10)</f>
        <v>7</v>
      </c>
      <c r="AB10" s="105">
        <f t="shared" si="1"/>
        <v>0.21218551076083661</v>
      </c>
      <c r="AC10" s="217">
        <v>2</v>
      </c>
      <c r="AD10" s="217">
        <v>1</v>
      </c>
      <c r="AE10" s="217">
        <v>71</v>
      </c>
    </row>
    <row r="11" spans="1:36" ht="15.75" thickBot="1" x14ac:dyDescent="0.3">
      <c r="A11" s="10" t="s">
        <v>21</v>
      </c>
      <c r="B11" s="24">
        <f>SUM(B6:B10)</f>
        <v>2305</v>
      </c>
      <c r="C11" s="24">
        <f>SUM(C6:C10)</f>
        <v>496</v>
      </c>
      <c r="D11" s="24">
        <f>SUM(D6:D10)</f>
        <v>2071</v>
      </c>
      <c r="E11" s="24">
        <f>SUM(E6:E10)</f>
        <v>1717</v>
      </c>
      <c r="F11" s="24">
        <f>SUM(F6:F10)</f>
        <v>722</v>
      </c>
      <c r="G11" s="122">
        <f t="shared" ref="G11:M11" si="2">SUM(G6:G10)</f>
        <v>7311</v>
      </c>
      <c r="H11" s="122">
        <f>SUM(H6:H10)</f>
        <v>0</v>
      </c>
      <c r="I11" s="122">
        <f>SUM(I6:I10)</f>
        <v>2</v>
      </c>
      <c r="J11" s="122">
        <f t="shared" si="2"/>
        <v>4</v>
      </c>
      <c r="K11" s="122">
        <f t="shared" si="2"/>
        <v>3</v>
      </c>
      <c r="L11" s="122">
        <f t="shared" si="2"/>
        <v>1</v>
      </c>
      <c r="M11" s="325">
        <f t="shared" si="2"/>
        <v>10</v>
      </c>
      <c r="N11" s="118">
        <f t="shared" ref="N11:N43" si="3">M11*100/G11</f>
        <v>0.1367801942278758</v>
      </c>
      <c r="O11" s="119">
        <f t="shared" ref="O11:T11" si="4">SUM(O6:O10)</f>
        <v>6</v>
      </c>
      <c r="P11" s="119">
        <f t="shared" si="4"/>
        <v>2</v>
      </c>
      <c r="Q11" s="119">
        <f t="shared" si="4"/>
        <v>9</v>
      </c>
      <c r="R11" s="119">
        <f>SUM(R6:R10)</f>
        <v>11</v>
      </c>
      <c r="S11" s="119">
        <f t="shared" si="4"/>
        <v>1</v>
      </c>
      <c r="T11" s="326">
        <f t="shared" si="4"/>
        <v>29</v>
      </c>
      <c r="U11" s="94">
        <f t="shared" si="0"/>
        <v>0.39666256326083982</v>
      </c>
      <c r="V11" s="119">
        <f t="shared" ref="V11:AA11" si="5">SUM(V6:V10)</f>
        <v>3</v>
      </c>
      <c r="W11" s="119">
        <f t="shared" si="5"/>
        <v>0</v>
      </c>
      <c r="X11" s="119">
        <f t="shared" si="5"/>
        <v>19</v>
      </c>
      <c r="Y11" s="119">
        <f>SUM(Y6:Y10)</f>
        <v>2</v>
      </c>
      <c r="Z11" s="119">
        <f t="shared" si="5"/>
        <v>2</v>
      </c>
      <c r="AA11" s="327">
        <f t="shared" si="5"/>
        <v>26</v>
      </c>
      <c r="AB11" s="106">
        <f t="shared" si="1"/>
        <v>0.35562850499247711</v>
      </c>
      <c r="AC11" s="132">
        <f>SUM(AC6:AC10)</f>
        <v>5</v>
      </c>
      <c r="AD11" s="115">
        <f>SUM(AD6:AD10)</f>
        <v>1</v>
      </c>
      <c r="AE11" s="115">
        <f>SUM(AE6:AE10)</f>
        <v>156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56"/>
      <c r="O13" s="54"/>
      <c r="P13" s="54"/>
      <c r="Q13" s="54"/>
      <c r="R13" s="54"/>
      <c r="S13" s="54"/>
      <c r="T13" s="86"/>
      <c r="U13" s="131"/>
      <c r="AA13" s="99"/>
      <c r="AC13" s="99"/>
      <c r="AD13" s="99"/>
      <c r="AE13" s="99"/>
    </row>
    <row r="14" spans="1:36" ht="15" thickBot="1" x14ac:dyDescent="0.25">
      <c r="A14" s="7" t="s">
        <v>4</v>
      </c>
      <c r="B14" s="22">
        <v>15</v>
      </c>
      <c r="C14" s="22">
        <v>9</v>
      </c>
      <c r="D14" s="22">
        <v>33</v>
      </c>
      <c r="E14" s="22">
        <v>34</v>
      </c>
      <c r="F14" s="22">
        <v>9</v>
      </c>
      <c r="G14" s="121">
        <f>SUM(B14:F14)</f>
        <v>100</v>
      </c>
      <c r="H14" s="57">
        <v>0</v>
      </c>
      <c r="I14" s="57">
        <f>Detmold14!C14</f>
        <v>0</v>
      </c>
      <c r="J14" s="58">
        <f>Düsseldorf14!C14</f>
        <v>0</v>
      </c>
      <c r="K14" s="45">
        <f>Kölle14!C14</f>
        <v>0</v>
      </c>
      <c r="L14" s="46">
        <f>Münster14!C14</f>
        <v>0</v>
      </c>
      <c r="M14" s="217">
        <f>SUM(H14:L14)</f>
        <v>0</v>
      </c>
      <c r="N14" s="51">
        <f t="shared" si="3"/>
        <v>0</v>
      </c>
      <c r="O14" s="58">
        <v>0</v>
      </c>
      <c r="P14" s="58">
        <f>Detmold14!D14</f>
        <v>0</v>
      </c>
      <c r="Q14" s="45">
        <v>1</v>
      </c>
      <c r="R14" s="45">
        <v>0</v>
      </c>
      <c r="S14" s="58">
        <v>0</v>
      </c>
      <c r="T14" s="372">
        <f>SUM(O14:S14)</f>
        <v>1</v>
      </c>
      <c r="U14" s="211">
        <f t="shared" si="0"/>
        <v>1</v>
      </c>
      <c r="V14" s="45">
        <f>Arnsberg14!E14</f>
        <v>0</v>
      </c>
      <c r="W14" s="45">
        <f>Detmold14!E14</f>
        <v>0</v>
      </c>
      <c r="X14" s="45">
        <f>Düsseldorf14!E14</f>
        <v>0</v>
      </c>
      <c r="Y14" s="45">
        <f>Kölle14!E14</f>
        <v>0</v>
      </c>
      <c r="Z14" s="45">
        <v>0</v>
      </c>
      <c r="AA14" s="217">
        <f>SUM(V14:Z14)</f>
        <v>0</v>
      </c>
      <c r="AB14" s="104">
        <f t="shared" si="1"/>
        <v>0</v>
      </c>
      <c r="AC14" s="217">
        <f>Arnsberg14!F14+Detmold14!F14+Düsseldorf14!F14+Kölle14!F14+Münster14!F14</f>
        <v>0</v>
      </c>
      <c r="AD14" s="217">
        <f>Arnsberg14!G14+Detmold14!G14+Düsseldorf14!G14+Kölle14!G14+Münster14!G14</f>
        <v>0</v>
      </c>
      <c r="AE14" s="217">
        <v>0</v>
      </c>
    </row>
    <row r="15" spans="1:36" ht="15" thickBot="1" x14ac:dyDescent="0.25">
      <c r="A15" s="11" t="s">
        <v>5</v>
      </c>
      <c r="B15" s="27">
        <v>214</v>
      </c>
      <c r="C15" s="27">
        <v>48</v>
      </c>
      <c r="D15" s="27">
        <v>208</v>
      </c>
      <c r="E15" s="27">
        <v>331</v>
      </c>
      <c r="F15" s="27">
        <v>83</v>
      </c>
      <c r="G15" s="121">
        <f t="shared" ref="G15:G24" si="6">SUM(B15:F15)</f>
        <v>884</v>
      </c>
      <c r="H15" s="59">
        <v>1</v>
      </c>
      <c r="I15" s="60">
        <f>Detmold14!C15</f>
        <v>0</v>
      </c>
      <c r="J15" s="61">
        <v>1</v>
      </c>
      <c r="K15" s="62">
        <v>2</v>
      </c>
      <c r="L15" s="48">
        <v>0</v>
      </c>
      <c r="M15" s="372">
        <f>SUM(H15:L15)</f>
        <v>4</v>
      </c>
      <c r="N15" s="51">
        <f t="shared" si="3"/>
        <v>0.45248868778280543</v>
      </c>
      <c r="O15" s="62">
        <v>3</v>
      </c>
      <c r="P15" s="61">
        <v>0</v>
      </c>
      <c r="Q15" s="62">
        <v>1</v>
      </c>
      <c r="R15" s="62">
        <v>3</v>
      </c>
      <c r="S15" s="63">
        <v>2</v>
      </c>
      <c r="T15" s="372">
        <f>SUM(O15:S15)</f>
        <v>9</v>
      </c>
      <c r="U15" s="212">
        <f t="shared" si="0"/>
        <v>1.0180995475113122</v>
      </c>
      <c r="V15" s="62">
        <f>Arnsberg14!E15</f>
        <v>0</v>
      </c>
      <c r="W15" s="62">
        <f>Detmold14!E15</f>
        <v>0</v>
      </c>
      <c r="X15" s="62">
        <v>2</v>
      </c>
      <c r="Y15" s="62">
        <v>0</v>
      </c>
      <c r="Z15" s="62">
        <f>Münster14!E15</f>
        <v>0</v>
      </c>
      <c r="AA15" s="372">
        <f>SUM(V15:Z15)</f>
        <v>2</v>
      </c>
      <c r="AB15" s="104">
        <f t="shared" si="1"/>
        <v>0.22624434389140272</v>
      </c>
      <c r="AC15" s="217">
        <v>0</v>
      </c>
      <c r="AD15" s="217">
        <v>0</v>
      </c>
      <c r="AE15" s="217">
        <v>41</v>
      </c>
    </row>
    <row r="16" spans="1:36" ht="15" thickBot="1" x14ac:dyDescent="0.25">
      <c r="A16" s="11" t="s">
        <v>6</v>
      </c>
      <c r="B16" s="28">
        <v>55</v>
      </c>
      <c r="C16" s="27">
        <v>30</v>
      </c>
      <c r="D16" s="27">
        <v>64</v>
      </c>
      <c r="E16" s="27">
        <v>50</v>
      </c>
      <c r="F16" s="27">
        <v>36</v>
      </c>
      <c r="G16" s="121">
        <f t="shared" si="6"/>
        <v>235</v>
      </c>
      <c r="H16" s="59">
        <v>0</v>
      </c>
      <c r="I16" s="60">
        <f>Detmold14!C16</f>
        <v>0</v>
      </c>
      <c r="J16" s="61">
        <f>Düsseldorf14!C16</f>
        <v>0</v>
      </c>
      <c r="K16" s="62">
        <f>Kölle14!C16</f>
        <v>0</v>
      </c>
      <c r="L16" s="48">
        <f>Münster14!C16</f>
        <v>0</v>
      </c>
      <c r="M16" s="217">
        <f t="shared" ref="M16:M20" si="7">SUM(H16:L16)</f>
        <v>0</v>
      </c>
      <c r="N16" s="51">
        <f t="shared" si="3"/>
        <v>0</v>
      </c>
      <c r="O16" s="64">
        <v>0</v>
      </c>
      <c r="P16" s="64">
        <f>Detmold14!D16</f>
        <v>0</v>
      </c>
      <c r="Q16" s="62">
        <v>3</v>
      </c>
      <c r="R16" s="62">
        <v>1</v>
      </c>
      <c r="S16" s="63">
        <f>Münster14!D16</f>
        <v>0</v>
      </c>
      <c r="T16" s="372">
        <f>SUM(O16:S16)</f>
        <v>4</v>
      </c>
      <c r="U16" s="212">
        <f t="shared" si="0"/>
        <v>1.7021276595744681</v>
      </c>
      <c r="V16" s="62">
        <f>Arnsberg14!E16</f>
        <v>0</v>
      </c>
      <c r="W16" s="62">
        <f>Detmold14!E16</f>
        <v>0</v>
      </c>
      <c r="X16" s="62">
        <v>0</v>
      </c>
      <c r="Y16" s="62">
        <v>0</v>
      </c>
      <c r="Z16" s="62">
        <f>Münster14!E16</f>
        <v>0</v>
      </c>
      <c r="AA16" s="372">
        <f>SUM(V16:Z16)</f>
        <v>0</v>
      </c>
      <c r="AB16" s="104">
        <f t="shared" si="1"/>
        <v>0</v>
      </c>
      <c r="AC16" s="217">
        <f>Arnsberg14!F16+Detmold14!F16+Düsseldorf14!F16+Kölle14!F16+Münster14!F16</f>
        <v>0</v>
      </c>
      <c r="AD16" s="217">
        <f>Arnsberg14!G16+Detmold14!G16+Düsseldorf14!G16+Kölle14!G16+Münster14!G16</f>
        <v>0</v>
      </c>
      <c r="AE16" s="217">
        <v>3</v>
      </c>
    </row>
    <row r="17" spans="1:34" ht="15" thickBot="1" x14ac:dyDescent="0.25">
      <c r="A17" s="11" t="s">
        <v>7</v>
      </c>
      <c r="B17" s="27">
        <v>24</v>
      </c>
      <c r="C17" s="27">
        <v>12</v>
      </c>
      <c r="D17" s="27">
        <v>40</v>
      </c>
      <c r="E17" s="27">
        <v>18</v>
      </c>
      <c r="F17" s="27">
        <v>20</v>
      </c>
      <c r="G17" s="121">
        <f t="shared" si="6"/>
        <v>114</v>
      </c>
      <c r="H17" s="59">
        <v>0</v>
      </c>
      <c r="I17" s="60">
        <f>Detmold14!C17</f>
        <v>0</v>
      </c>
      <c r="J17" s="61">
        <v>0</v>
      </c>
      <c r="K17" s="62">
        <v>0</v>
      </c>
      <c r="L17" s="48">
        <f>Münster14!C17</f>
        <v>0</v>
      </c>
      <c r="M17" s="372">
        <f>SUM(H17:L17)</f>
        <v>0</v>
      </c>
      <c r="N17" s="51">
        <f t="shared" si="3"/>
        <v>0</v>
      </c>
      <c r="O17" s="62">
        <v>0</v>
      </c>
      <c r="P17" s="62">
        <f>Detmold14!D17</f>
        <v>0</v>
      </c>
      <c r="Q17" s="62">
        <v>0</v>
      </c>
      <c r="R17" s="62">
        <v>0</v>
      </c>
      <c r="S17" s="63">
        <f>Münster14!D17</f>
        <v>0</v>
      </c>
      <c r="T17" s="372">
        <f>SUM(O17:S17)</f>
        <v>0</v>
      </c>
      <c r="U17" s="212">
        <f t="shared" si="0"/>
        <v>0</v>
      </c>
      <c r="V17" s="62">
        <f>Arnsberg14!E17</f>
        <v>0</v>
      </c>
      <c r="W17" s="62">
        <f>Detmold14!E17</f>
        <v>0</v>
      </c>
      <c r="X17" s="62">
        <f>Düsseldorf14!E17</f>
        <v>0</v>
      </c>
      <c r="Y17" s="62">
        <f>Kölle14!E17</f>
        <v>0</v>
      </c>
      <c r="Z17" s="62">
        <f>Münster14!E17</f>
        <v>0</v>
      </c>
      <c r="AA17" s="217">
        <f t="shared" ref="AA17:AA20" si="8">SUM(V17:Z17)</f>
        <v>0</v>
      </c>
      <c r="AB17" s="104">
        <f t="shared" si="1"/>
        <v>0</v>
      </c>
      <c r="AC17" s="217">
        <f>Arnsberg14!F17+Detmold14!F17+Düsseldorf14!F17+Kölle14!F17+Münster14!F17</f>
        <v>0</v>
      </c>
      <c r="AD17" s="217">
        <f>Arnsberg14!G17+Detmold14!G17+Düsseldorf14!G17+Kölle14!G17+Münster14!G17</f>
        <v>0</v>
      </c>
      <c r="AE17" s="217">
        <v>1</v>
      </c>
    </row>
    <row r="18" spans="1:34" ht="15" thickBot="1" x14ac:dyDescent="0.25">
      <c r="A18" s="11" t="s">
        <v>8</v>
      </c>
      <c r="B18" s="27">
        <v>8</v>
      </c>
      <c r="C18" s="27">
        <v>2</v>
      </c>
      <c r="D18" s="27">
        <v>8</v>
      </c>
      <c r="E18" s="27">
        <v>3</v>
      </c>
      <c r="F18" s="27">
        <v>2</v>
      </c>
      <c r="G18" s="121">
        <f t="shared" si="6"/>
        <v>23</v>
      </c>
      <c r="H18" s="59">
        <v>0</v>
      </c>
      <c r="I18" s="60">
        <f>Detmold14!C18</f>
        <v>0</v>
      </c>
      <c r="J18" s="61">
        <f>Düsseldorf14!C18</f>
        <v>0</v>
      </c>
      <c r="K18" s="62">
        <f>Kölle14!C18</f>
        <v>0</v>
      </c>
      <c r="L18" s="48">
        <f>Münster14!C18</f>
        <v>0</v>
      </c>
      <c r="M18" s="372">
        <f>SUM(H18:L18)</f>
        <v>0</v>
      </c>
      <c r="N18" s="51">
        <f t="shared" si="3"/>
        <v>0</v>
      </c>
      <c r="O18" s="62">
        <v>0</v>
      </c>
      <c r="P18" s="62">
        <f>Detmold14!D18</f>
        <v>0</v>
      </c>
      <c r="Q18" s="62">
        <v>0</v>
      </c>
      <c r="R18" s="62">
        <v>0</v>
      </c>
      <c r="S18" s="61">
        <f>Münster14!D18</f>
        <v>0</v>
      </c>
      <c r="T18" s="217">
        <f t="shared" ref="T18:T20" si="9">SUM(O18:S18)</f>
        <v>0</v>
      </c>
      <c r="U18" s="212">
        <f t="shared" si="0"/>
        <v>0</v>
      </c>
      <c r="V18" s="62">
        <v>0</v>
      </c>
      <c r="W18" s="62">
        <f>Detmold14!E18</f>
        <v>0</v>
      </c>
      <c r="X18" s="62">
        <f>Düsseldorf14!E18</f>
        <v>0</v>
      </c>
      <c r="Y18" s="62">
        <f>Kölle14!E18</f>
        <v>0</v>
      </c>
      <c r="Z18" s="62">
        <f>Münster14!E18</f>
        <v>0</v>
      </c>
      <c r="AA18" s="372">
        <f>SUM(V18:Z18)</f>
        <v>0</v>
      </c>
      <c r="AB18" s="104">
        <f t="shared" si="1"/>
        <v>0</v>
      </c>
      <c r="AC18" s="217">
        <f>Arnsberg14!F18+Detmold14!F18+Düsseldorf14!F18+Kölle14!F18+Münster14!F18</f>
        <v>0</v>
      </c>
      <c r="AD18" s="217">
        <f>Arnsberg14!G18+Detmold14!G18+Düsseldorf14!G18+Kölle14!G18+Münster14!G18</f>
        <v>0</v>
      </c>
      <c r="AE18" s="217">
        <v>0</v>
      </c>
    </row>
    <row r="19" spans="1:34" ht="15" thickBot="1" x14ac:dyDescent="0.25">
      <c r="A19" s="11" t="s">
        <v>9</v>
      </c>
      <c r="B19" s="27">
        <v>21</v>
      </c>
      <c r="C19" s="27">
        <v>4</v>
      </c>
      <c r="D19" s="27">
        <v>26</v>
      </c>
      <c r="E19" s="27">
        <v>17</v>
      </c>
      <c r="F19" s="27">
        <v>9</v>
      </c>
      <c r="G19" s="121">
        <f t="shared" si="6"/>
        <v>77</v>
      </c>
      <c r="H19" s="59">
        <v>0</v>
      </c>
      <c r="I19" s="60">
        <f>Detmold14!C19</f>
        <v>0</v>
      </c>
      <c r="J19" s="61">
        <v>0</v>
      </c>
      <c r="K19" s="62">
        <v>0</v>
      </c>
      <c r="L19" s="48">
        <f>Münster14!C19</f>
        <v>0</v>
      </c>
      <c r="M19" s="217">
        <f t="shared" si="7"/>
        <v>0</v>
      </c>
      <c r="N19" s="51">
        <f t="shared" si="3"/>
        <v>0</v>
      </c>
      <c r="O19" s="62">
        <v>0</v>
      </c>
      <c r="P19" s="62">
        <f>Detmold14!D19</f>
        <v>0</v>
      </c>
      <c r="Q19" s="62">
        <v>0</v>
      </c>
      <c r="R19" s="62">
        <v>0</v>
      </c>
      <c r="S19" s="65">
        <f>Münster14!D19</f>
        <v>0</v>
      </c>
      <c r="T19" s="217">
        <f t="shared" si="9"/>
        <v>0</v>
      </c>
      <c r="U19" s="212">
        <f t="shared" si="0"/>
        <v>0</v>
      </c>
      <c r="V19" s="62">
        <f>Arnsberg14!E19</f>
        <v>0</v>
      </c>
      <c r="W19" s="62">
        <f>Detmold14!E19</f>
        <v>0</v>
      </c>
      <c r="X19" s="62">
        <f>Düsseldorf14!E19</f>
        <v>0</v>
      </c>
      <c r="Y19" s="62">
        <f>Kölle14!E19</f>
        <v>0</v>
      </c>
      <c r="Z19" s="62">
        <f>Münster14!E19</f>
        <v>0</v>
      </c>
      <c r="AA19" s="217">
        <f t="shared" si="8"/>
        <v>0</v>
      </c>
      <c r="AB19" s="104">
        <f t="shared" si="1"/>
        <v>0</v>
      </c>
      <c r="AC19" s="217">
        <f>Arnsberg14!F19+Detmold14!F19+Düsseldorf14!F19+Kölle14!F19+Münster14!F19</f>
        <v>0</v>
      </c>
      <c r="AD19" s="217">
        <f>Arnsberg14!G19+Detmold14!G19+Düsseldorf14!G19+Kölle14!G19+Münster14!G19</f>
        <v>0</v>
      </c>
      <c r="AE19" s="217">
        <v>0</v>
      </c>
    </row>
    <row r="20" spans="1:34" ht="15" thickBot="1" x14ac:dyDescent="0.25">
      <c r="A20" s="11" t="s">
        <v>10</v>
      </c>
      <c r="B20" s="27">
        <v>11</v>
      </c>
      <c r="C20" s="27">
        <v>4</v>
      </c>
      <c r="D20" s="27">
        <v>13</v>
      </c>
      <c r="E20" s="27">
        <v>20</v>
      </c>
      <c r="F20" s="27">
        <v>5</v>
      </c>
      <c r="G20" s="121">
        <f t="shared" si="6"/>
        <v>53</v>
      </c>
      <c r="H20" s="59">
        <v>0</v>
      </c>
      <c r="I20" s="60">
        <f>Detmold14!C20</f>
        <v>0</v>
      </c>
      <c r="J20" s="61">
        <f>Düsseldorf14!C20</f>
        <v>0</v>
      </c>
      <c r="K20" s="62">
        <v>0</v>
      </c>
      <c r="L20" s="48">
        <f>Münster14!C20</f>
        <v>0</v>
      </c>
      <c r="M20" s="217">
        <f t="shared" si="7"/>
        <v>0</v>
      </c>
      <c r="N20" s="51">
        <f t="shared" si="3"/>
        <v>0</v>
      </c>
      <c r="O20" s="62">
        <v>0</v>
      </c>
      <c r="P20" s="62">
        <f>Detmold14!D20</f>
        <v>0</v>
      </c>
      <c r="Q20" s="62">
        <v>0</v>
      </c>
      <c r="R20" s="62">
        <v>0</v>
      </c>
      <c r="S20" s="65">
        <f>Münster14!D20</f>
        <v>0</v>
      </c>
      <c r="T20" s="217">
        <f t="shared" si="9"/>
        <v>0</v>
      </c>
      <c r="U20" s="212">
        <f t="shared" si="0"/>
        <v>0</v>
      </c>
      <c r="V20" s="62">
        <f>Arnsberg14!E20</f>
        <v>0</v>
      </c>
      <c r="W20" s="62">
        <f>Detmold14!E20</f>
        <v>0</v>
      </c>
      <c r="X20" s="62">
        <f>Düsseldorf14!E20</f>
        <v>0</v>
      </c>
      <c r="Y20" s="62">
        <f>Kölle14!E20</f>
        <v>0</v>
      </c>
      <c r="Z20" s="62">
        <f>Münster14!E20</f>
        <v>0</v>
      </c>
      <c r="AA20" s="217">
        <f t="shared" si="8"/>
        <v>0</v>
      </c>
      <c r="AB20" s="104">
        <f t="shared" si="1"/>
        <v>0</v>
      </c>
      <c r="AC20" s="217">
        <f>Arnsberg14!F20+Detmold14!F20+Düsseldorf14!F20+Kölle14!F20+Münster14!F20</f>
        <v>0</v>
      </c>
      <c r="AD20" s="217">
        <f>Arnsberg14!G20+Detmold14!G20+Düsseldorf14!G20+Kölle14!G20+Münster14!G20</f>
        <v>0</v>
      </c>
      <c r="AE20" s="217">
        <v>0</v>
      </c>
    </row>
    <row r="21" spans="1:34" ht="15" thickBot="1" x14ac:dyDescent="0.25">
      <c r="A21" s="11" t="s">
        <v>11</v>
      </c>
      <c r="B21" s="27">
        <v>109</v>
      </c>
      <c r="C21" s="27">
        <v>10</v>
      </c>
      <c r="D21" s="27">
        <v>97</v>
      </c>
      <c r="E21" s="27">
        <v>115</v>
      </c>
      <c r="F21" s="27">
        <v>41</v>
      </c>
      <c r="G21" s="121">
        <f t="shared" si="6"/>
        <v>372</v>
      </c>
      <c r="H21" s="66">
        <v>1</v>
      </c>
      <c r="I21" s="66">
        <f>Detmold14!C21</f>
        <v>0</v>
      </c>
      <c r="J21" s="64">
        <v>1</v>
      </c>
      <c r="K21" s="62">
        <v>1</v>
      </c>
      <c r="L21" s="50">
        <v>1</v>
      </c>
      <c r="M21" s="372">
        <f>SUM(H21:L21)</f>
        <v>4</v>
      </c>
      <c r="N21" s="51">
        <f t="shared" si="3"/>
        <v>1.075268817204301</v>
      </c>
      <c r="O21" s="62">
        <v>1</v>
      </c>
      <c r="P21" s="62">
        <v>0</v>
      </c>
      <c r="Q21" s="62">
        <v>1</v>
      </c>
      <c r="R21" s="62">
        <v>0</v>
      </c>
      <c r="S21" s="64">
        <f>Münster14!D21</f>
        <v>0</v>
      </c>
      <c r="T21" s="372">
        <f>SUM(O21:S21)</f>
        <v>2</v>
      </c>
      <c r="U21" s="212">
        <f t="shared" si="0"/>
        <v>0.5376344086021505</v>
      </c>
      <c r="V21" s="62">
        <f>Arnsberg14!E21</f>
        <v>0</v>
      </c>
      <c r="W21" s="62">
        <f>Detmold14!E21</f>
        <v>0</v>
      </c>
      <c r="X21" s="62">
        <v>1</v>
      </c>
      <c r="Y21" s="62">
        <f>Kölle14!E21</f>
        <v>0</v>
      </c>
      <c r="Z21" s="62">
        <v>0</v>
      </c>
      <c r="AA21" s="372">
        <f>SUM(V21:Z21)</f>
        <v>1</v>
      </c>
      <c r="AB21" s="104">
        <f t="shared" si="1"/>
        <v>0.26881720430107525</v>
      </c>
      <c r="AC21" s="217">
        <f>Arnsberg14!F21+Detmold14!F21+Düsseldorf14!F21+Kölle14!F21+Münster14!F21</f>
        <v>0</v>
      </c>
      <c r="AD21" s="217">
        <v>0</v>
      </c>
      <c r="AE21" s="217">
        <v>16</v>
      </c>
    </row>
    <row r="22" spans="1:34" ht="15" thickBot="1" x14ac:dyDescent="0.25">
      <c r="A22" s="11" t="s">
        <v>12</v>
      </c>
      <c r="B22" s="27">
        <v>1251</v>
      </c>
      <c r="C22" s="27">
        <v>485</v>
      </c>
      <c r="D22" s="27">
        <v>1670</v>
      </c>
      <c r="E22" s="27">
        <v>1471</v>
      </c>
      <c r="F22" s="27">
        <v>732</v>
      </c>
      <c r="G22" s="121">
        <f t="shared" si="6"/>
        <v>5609</v>
      </c>
      <c r="H22" s="60">
        <v>1</v>
      </c>
      <c r="I22" s="62">
        <v>3</v>
      </c>
      <c r="J22" s="62">
        <v>0</v>
      </c>
      <c r="K22" s="62">
        <v>1</v>
      </c>
      <c r="L22" s="48">
        <v>3</v>
      </c>
      <c r="M22" s="372">
        <f>SUM(H22:L22)</f>
        <v>8</v>
      </c>
      <c r="N22" s="51">
        <f t="shared" si="3"/>
        <v>0.14262791941522554</v>
      </c>
      <c r="O22" s="62">
        <v>3</v>
      </c>
      <c r="P22" s="62">
        <v>3</v>
      </c>
      <c r="Q22" s="62">
        <v>7</v>
      </c>
      <c r="R22" s="62">
        <v>7</v>
      </c>
      <c r="S22" s="62">
        <v>6</v>
      </c>
      <c r="T22" s="372">
        <f>SUM(O22:S22)</f>
        <v>26</v>
      </c>
      <c r="U22" s="212">
        <f t="shared" si="0"/>
        <v>0.46354073809948299</v>
      </c>
      <c r="V22" s="62">
        <v>2</v>
      </c>
      <c r="W22" s="62">
        <v>1</v>
      </c>
      <c r="X22" s="62">
        <v>5</v>
      </c>
      <c r="Y22" s="62">
        <v>1</v>
      </c>
      <c r="Z22" s="62">
        <v>1</v>
      </c>
      <c r="AA22" s="372">
        <f>SUM(V22:Z22)</f>
        <v>10</v>
      </c>
      <c r="AB22" s="104">
        <f t="shared" si="1"/>
        <v>0.1782848992690319</v>
      </c>
      <c r="AC22" s="217">
        <v>6</v>
      </c>
      <c r="AD22" s="217">
        <v>2</v>
      </c>
      <c r="AE22" s="217">
        <v>70</v>
      </c>
    </row>
    <row r="23" spans="1:34" ht="15" thickBot="1" x14ac:dyDescent="0.25">
      <c r="A23" s="12" t="s">
        <v>13</v>
      </c>
      <c r="B23" s="29">
        <v>14</v>
      </c>
      <c r="C23" s="29">
        <v>1</v>
      </c>
      <c r="D23" s="27">
        <v>4</v>
      </c>
      <c r="E23" s="29">
        <v>5</v>
      </c>
      <c r="F23" s="27">
        <v>4</v>
      </c>
      <c r="G23" s="121">
        <f t="shared" si="6"/>
        <v>28</v>
      </c>
      <c r="H23" s="67">
        <v>1</v>
      </c>
      <c r="I23" s="68">
        <f>Detmold14!C23</f>
        <v>0</v>
      </c>
      <c r="J23" s="68">
        <f>Düsseldorf14!C23</f>
        <v>0</v>
      </c>
      <c r="K23" s="68">
        <f>Kölle14!C23</f>
        <v>0</v>
      </c>
      <c r="L23" s="69">
        <f>Münster14!C23</f>
        <v>0</v>
      </c>
      <c r="M23" s="372">
        <f>SUM(H23:L23)</f>
        <v>1</v>
      </c>
      <c r="N23" s="51">
        <f t="shared" si="3"/>
        <v>3.5714285714285716</v>
      </c>
      <c r="O23" s="68">
        <v>1</v>
      </c>
      <c r="P23" s="68">
        <f>Detmold14!D23</f>
        <v>0</v>
      </c>
      <c r="Q23" s="68">
        <v>0</v>
      </c>
      <c r="R23" s="68">
        <v>0</v>
      </c>
      <c r="S23" s="68">
        <f>Münster14!D23</f>
        <v>0</v>
      </c>
      <c r="T23" s="372">
        <f>SUM(O23:S23)</f>
        <v>1</v>
      </c>
      <c r="U23" s="212">
        <f t="shared" si="0"/>
        <v>3.5714285714285716</v>
      </c>
      <c r="V23" s="68">
        <f>Arnsberg14!E23</f>
        <v>0</v>
      </c>
      <c r="W23" s="68">
        <f>Detmold14!E23</f>
        <v>0</v>
      </c>
      <c r="X23" s="68">
        <v>1</v>
      </c>
      <c r="Y23" s="68">
        <f>Kölle14!E23</f>
        <v>0</v>
      </c>
      <c r="Z23" s="68">
        <f>Münster14!E23</f>
        <v>0</v>
      </c>
      <c r="AA23" s="372">
        <f>SUM(V23:Z23)</f>
        <v>1</v>
      </c>
      <c r="AB23" s="104">
        <f t="shared" si="1"/>
        <v>3.5714285714285716</v>
      </c>
      <c r="AC23" s="217">
        <v>0</v>
      </c>
      <c r="AD23" s="217">
        <f>Arnsberg14!G23+Detmold14!G23+Düsseldorf14!G23+Kölle14!G23+Münster14!G23</f>
        <v>0</v>
      </c>
      <c r="AE23" s="217">
        <v>5</v>
      </c>
    </row>
    <row r="24" spans="1:34" ht="24.75" thickBot="1" x14ac:dyDescent="0.25">
      <c r="A24" s="18" t="s">
        <v>23</v>
      </c>
      <c r="B24" s="23">
        <v>535</v>
      </c>
      <c r="C24" s="23">
        <v>158</v>
      </c>
      <c r="D24" s="27">
        <v>581</v>
      </c>
      <c r="E24" s="23">
        <v>686</v>
      </c>
      <c r="F24" s="27">
        <v>418</v>
      </c>
      <c r="G24" s="121">
        <f t="shared" si="6"/>
        <v>2378</v>
      </c>
      <c r="H24" s="150">
        <v>1</v>
      </c>
      <c r="I24" s="68">
        <f>Detmold14!C24</f>
        <v>0</v>
      </c>
      <c r="J24" s="68">
        <v>1</v>
      </c>
      <c r="K24" s="68">
        <v>0</v>
      </c>
      <c r="L24" s="69">
        <v>0</v>
      </c>
      <c r="M24" s="372">
        <f>SUM(H24:L24)</f>
        <v>2</v>
      </c>
      <c r="N24" s="70">
        <f t="shared" si="3"/>
        <v>8.4104289318755257E-2</v>
      </c>
      <c r="O24" s="89">
        <v>1</v>
      </c>
      <c r="P24" s="68">
        <v>0</v>
      </c>
      <c r="Q24" s="89">
        <v>4</v>
      </c>
      <c r="R24" s="89">
        <v>1</v>
      </c>
      <c r="S24" s="68">
        <v>2</v>
      </c>
      <c r="T24" s="372">
        <f>SUM(O24:S24)</f>
        <v>8</v>
      </c>
      <c r="U24" s="213">
        <f t="shared" si="0"/>
        <v>0.33641715727502103</v>
      </c>
      <c r="V24" s="89">
        <f>Arnsberg14!E24</f>
        <v>0</v>
      </c>
      <c r="W24" s="89">
        <v>0</v>
      </c>
      <c r="X24" s="89">
        <v>1</v>
      </c>
      <c r="Y24" s="89">
        <v>0</v>
      </c>
      <c r="Z24" s="89">
        <f>Münster14!E24</f>
        <v>0</v>
      </c>
      <c r="AA24" s="372">
        <f>SUM(V24:Z24)</f>
        <v>1</v>
      </c>
      <c r="AB24" s="105">
        <f t="shared" si="1"/>
        <v>4.2052144659377629E-2</v>
      </c>
      <c r="AC24" s="217">
        <v>4</v>
      </c>
      <c r="AD24" s="217">
        <v>3</v>
      </c>
      <c r="AE24" s="217">
        <v>7</v>
      </c>
    </row>
    <row r="25" spans="1:34" ht="15.75" thickBot="1" x14ac:dyDescent="0.3">
      <c r="A25" s="13" t="s">
        <v>22</v>
      </c>
      <c r="B25" s="30">
        <f t="shared" ref="B25:I25" si="10">SUM(B14:B24)</f>
        <v>2257</v>
      </c>
      <c r="C25" s="30">
        <f t="shared" si="10"/>
        <v>763</v>
      </c>
      <c r="D25" s="30">
        <f t="shared" si="10"/>
        <v>2744</v>
      </c>
      <c r="E25" s="30">
        <f t="shared" si="10"/>
        <v>2750</v>
      </c>
      <c r="F25" s="30">
        <f t="shared" si="10"/>
        <v>1359</v>
      </c>
      <c r="G25" s="122">
        <f t="shared" si="10"/>
        <v>9873</v>
      </c>
      <c r="H25" s="71">
        <f t="shared" si="10"/>
        <v>5</v>
      </c>
      <c r="I25" s="72">
        <f t="shared" si="10"/>
        <v>3</v>
      </c>
      <c r="J25" s="72">
        <f>SUM(J14:J24)</f>
        <v>3</v>
      </c>
      <c r="K25" s="72">
        <f t="shared" ref="K25:L25" si="11">SUM(K14:K24)</f>
        <v>4</v>
      </c>
      <c r="L25" s="72">
        <f t="shared" si="11"/>
        <v>4</v>
      </c>
      <c r="M25" s="325">
        <f>SUM(M14:M24)</f>
        <v>19</v>
      </c>
      <c r="N25" s="118">
        <f t="shared" si="3"/>
        <v>0.19244403929909856</v>
      </c>
      <c r="O25" s="116">
        <f t="shared" ref="O25:T25" si="12">SUM(O14:O24)</f>
        <v>9</v>
      </c>
      <c r="P25" s="116">
        <f t="shared" si="12"/>
        <v>3</v>
      </c>
      <c r="Q25" s="116">
        <f t="shared" si="12"/>
        <v>17</v>
      </c>
      <c r="R25" s="116">
        <f>SUM(R14:R24)</f>
        <v>12</v>
      </c>
      <c r="S25" s="116">
        <f t="shared" si="12"/>
        <v>10</v>
      </c>
      <c r="T25" s="328">
        <f t="shared" si="12"/>
        <v>51</v>
      </c>
      <c r="U25" s="214">
        <f t="shared" si="0"/>
        <v>0.51656031601336982</v>
      </c>
      <c r="V25" s="116">
        <f t="shared" ref="V25:AA25" si="13">SUM(V14:V24)</f>
        <v>2</v>
      </c>
      <c r="W25" s="116">
        <f t="shared" si="13"/>
        <v>1</v>
      </c>
      <c r="X25" s="116">
        <f t="shared" si="13"/>
        <v>10</v>
      </c>
      <c r="Y25" s="116">
        <f t="shared" si="13"/>
        <v>1</v>
      </c>
      <c r="Z25" s="116">
        <f t="shared" si="13"/>
        <v>1</v>
      </c>
      <c r="AA25" s="328">
        <f t="shared" si="13"/>
        <v>15</v>
      </c>
      <c r="AB25" s="106">
        <f t="shared" si="1"/>
        <v>0.15192950470981464</v>
      </c>
      <c r="AC25" s="132">
        <f>SUM(AC14:AC24)</f>
        <v>10</v>
      </c>
      <c r="AD25" s="115">
        <f>SUM(AD14:AD24)</f>
        <v>5</v>
      </c>
      <c r="AE25" s="115">
        <f>SUM(AE14:AE24)</f>
        <v>143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75"/>
      <c r="O27" s="74"/>
      <c r="P27" s="74"/>
      <c r="Q27" s="74"/>
      <c r="R27" s="74"/>
      <c r="S27" s="74"/>
      <c r="T27" s="88"/>
      <c r="U27" s="131"/>
      <c r="AA27" s="99"/>
      <c r="AC27" s="99"/>
      <c r="AD27" s="113"/>
      <c r="AE27" s="99"/>
    </row>
    <row r="28" spans="1:34" ht="15" thickBot="1" x14ac:dyDescent="0.25">
      <c r="A28" s="7" t="s">
        <v>15</v>
      </c>
      <c r="B28" s="22">
        <v>3115</v>
      </c>
      <c r="C28" s="22">
        <v>1810</v>
      </c>
      <c r="D28" s="22">
        <v>3518</v>
      </c>
      <c r="E28" s="22">
        <v>3417</v>
      </c>
      <c r="F28" s="22">
        <v>3053</v>
      </c>
      <c r="G28" s="121">
        <f>SUM(B28:F28)</f>
        <v>14913</v>
      </c>
      <c r="H28" s="44">
        <v>0</v>
      </c>
      <c r="I28" s="45">
        <v>2</v>
      </c>
      <c r="J28" s="45">
        <v>2</v>
      </c>
      <c r="K28" s="45">
        <v>5</v>
      </c>
      <c r="L28" s="76">
        <v>1</v>
      </c>
      <c r="M28" s="372">
        <f t="shared" ref="M28:M36" si="14">SUM(H28:L28)</f>
        <v>10</v>
      </c>
      <c r="N28" s="77">
        <f t="shared" si="3"/>
        <v>6.7055589083350103E-2</v>
      </c>
      <c r="O28" s="45">
        <v>6</v>
      </c>
      <c r="P28" s="45">
        <v>1</v>
      </c>
      <c r="Q28" s="45">
        <v>4</v>
      </c>
      <c r="R28" s="45">
        <v>4</v>
      </c>
      <c r="S28" s="45">
        <v>0</v>
      </c>
      <c r="T28" s="305">
        <f>SUM(O28:S28)</f>
        <v>15</v>
      </c>
      <c r="U28" s="133">
        <f t="shared" si="0"/>
        <v>0.10058338362502514</v>
      </c>
      <c r="V28" s="45">
        <v>0</v>
      </c>
      <c r="W28" s="45">
        <v>1</v>
      </c>
      <c r="X28" s="45">
        <v>0</v>
      </c>
      <c r="Y28" s="45">
        <v>0</v>
      </c>
      <c r="Z28" s="45">
        <v>0</v>
      </c>
      <c r="AA28" s="372">
        <f t="shared" ref="AA28:AA36" si="15">SUM(V28:Z28)</f>
        <v>1</v>
      </c>
      <c r="AB28" s="104">
        <f t="shared" si="1"/>
        <v>6.70555890833501E-3</v>
      </c>
      <c r="AC28" s="217">
        <v>5</v>
      </c>
      <c r="AD28" s="217">
        <v>2</v>
      </c>
      <c r="AE28" s="217">
        <v>48</v>
      </c>
    </row>
    <row r="29" spans="1:34" ht="15" thickBot="1" x14ac:dyDescent="0.25">
      <c r="A29" s="11" t="s">
        <v>16</v>
      </c>
      <c r="B29" s="27">
        <v>1299</v>
      </c>
      <c r="C29" s="27">
        <v>830</v>
      </c>
      <c r="D29" s="27">
        <v>1744</v>
      </c>
      <c r="E29" s="27">
        <v>1492</v>
      </c>
      <c r="F29" s="27">
        <v>999</v>
      </c>
      <c r="G29" s="121">
        <f t="shared" ref="G29:G36" si="16">SUM(B29:F29)</f>
        <v>6364</v>
      </c>
      <c r="H29" s="60">
        <v>1</v>
      </c>
      <c r="I29" s="62">
        <v>2</v>
      </c>
      <c r="J29" s="62">
        <v>7</v>
      </c>
      <c r="K29" s="62">
        <v>3</v>
      </c>
      <c r="L29" s="48">
        <v>5</v>
      </c>
      <c r="M29" s="372">
        <f t="shared" si="14"/>
        <v>18</v>
      </c>
      <c r="N29" s="78">
        <f t="shared" si="3"/>
        <v>0.28284098051539913</v>
      </c>
      <c r="O29" s="62">
        <v>2</v>
      </c>
      <c r="P29" s="62">
        <v>2</v>
      </c>
      <c r="Q29" s="62">
        <v>6</v>
      </c>
      <c r="R29" s="62">
        <v>3</v>
      </c>
      <c r="S29" s="62">
        <v>5</v>
      </c>
      <c r="T29" s="372">
        <f t="shared" ref="T29:T36" si="17">SUM(O29:S29)</f>
        <v>18</v>
      </c>
      <c r="U29" s="92">
        <f t="shared" si="0"/>
        <v>0.28284098051539913</v>
      </c>
      <c r="V29" s="62">
        <v>0</v>
      </c>
      <c r="W29" s="62">
        <v>0</v>
      </c>
      <c r="X29" s="62">
        <v>3</v>
      </c>
      <c r="Y29" s="62">
        <v>1</v>
      </c>
      <c r="Z29" s="62">
        <v>0</v>
      </c>
      <c r="AA29" s="372">
        <f t="shared" si="15"/>
        <v>4</v>
      </c>
      <c r="AB29" s="104">
        <f t="shared" si="1"/>
        <v>6.2853551225644247E-2</v>
      </c>
      <c r="AC29" s="217">
        <v>7</v>
      </c>
      <c r="AD29" s="217">
        <v>1</v>
      </c>
      <c r="AE29" s="217">
        <v>45</v>
      </c>
    </row>
    <row r="30" spans="1:34" ht="15" thickBot="1" x14ac:dyDescent="0.25">
      <c r="A30" s="11" t="s">
        <v>35</v>
      </c>
      <c r="B30" s="27">
        <v>1011</v>
      </c>
      <c r="C30" s="27">
        <v>640</v>
      </c>
      <c r="D30" s="27">
        <v>882</v>
      </c>
      <c r="E30" s="27">
        <v>841</v>
      </c>
      <c r="F30" s="27">
        <v>1378</v>
      </c>
      <c r="G30" s="121">
        <f t="shared" si="16"/>
        <v>4752</v>
      </c>
      <c r="H30" s="60">
        <v>2</v>
      </c>
      <c r="I30" s="62">
        <v>1</v>
      </c>
      <c r="J30" s="62">
        <v>5</v>
      </c>
      <c r="K30" s="62">
        <v>0</v>
      </c>
      <c r="L30" s="48">
        <v>1</v>
      </c>
      <c r="M30" s="372">
        <f t="shared" si="14"/>
        <v>9</v>
      </c>
      <c r="N30" s="78">
        <f t="shared" si="3"/>
        <v>0.18939393939393939</v>
      </c>
      <c r="O30" s="62">
        <v>3</v>
      </c>
      <c r="P30" s="62">
        <v>3</v>
      </c>
      <c r="Q30" s="62">
        <v>8</v>
      </c>
      <c r="R30" s="62">
        <v>5</v>
      </c>
      <c r="S30" s="62">
        <v>5</v>
      </c>
      <c r="T30" s="372">
        <f t="shared" si="17"/>
        <v>24</v>
      </c>
      <c r="U30" s="92">
        <f t="shared" si="0"/>
        <v>0.50505050505050508</v>
      </c>
      <c r="V30" s="62">
        <v>0</v>
      </c>
      <c r="W30" s="62">
        <v>0</v>
      </c>
      <c r="X30" s="62">
        <v>1</v>
      </c>
      <c r="Y30" s="62">
        <v>0</v>
      </c>
      <c r="Z30" s="62">
        <v>0</v>
      </c>
      <c r="AA30" s="372">
        <f t="shared" si="15"/>
        <v>1</v>
      </c>
      <c r="AB30" s="104">
        <f t="shared" si="1"/>
        <v>2.1043771043771045E-2</v>
      </c>
      <c r="AC30" s="217">
        <v>5</v>
      </c>
      <c r="AD30" s="217">
        <v>0</v>
      </c>
      <c r="AE30" s="217">
        <v>23</v>
      </c>
    </row>
    <row r="31" spans="1:34" ht="15" thickBot="1" x14ac:dyDescent="0.25">
      <c r="A31" s="11" t="s">
        <v>17</v>
      </c>
      <c r="B31" s="27">
        <v>6211</v>
      </c>
      <c r="C31" s="27">
        <v>3971</v>
      </c>
      <c r="D31" s="27">
        <v>8662</v>
      </c>
      <c r="E31" s="27">
        <v>7444</v>
      </c>
      <c r="F31" s="27">
        <v>6173</v>
      </c>
      <c r="G31" s="121">
        <f t="shared" si="16"/>
        <v>32461</v>
      </c>
      <c r="H31" s="60">
        <v>4</v>
      </c>
      <c r="I31" s="62">
        <v>1</v>
      </c>
      <c r="J31" s="62">
        <v>4</v>
      </c>
      <c r="K31" s="62">
        <v>5</v>
      </c>
      <c r="L31" s="48">
        <v>2</v>
      </c>
      <c r="M31" s="372">
        <f t="shared" si="14"/>
        <v>16</v>
      </c>
      <c r="N31" s="78">
        <f t="shared" si="3"/>
        <v>4.928991713132682E-2</v>
      </c>
      <c r="O31" s="62">
        <v>2</v>
      </c>
      <c r="P31" s="62">
        <v>0</v>
      </c>
      <c r="Q31" s="62">
        <v>1</v>
      </c>
      <c r="R31" s="62">
        <v>6</v>
      </c>
      <c r="S31" s="62">
        <v>1</v>
      </c>
      <c r="T31" s="372">
        <f t="shared" si="17"/>
        <v>10</v>
      </c>
      <c r="U31" s="92">
        <f t="shared" si="0"/>
        <v>3.0806198207079263E-2</v>
      </c>
      <c r="V31" s="62">
        <v>2</v>
      </c>
      <c r="W31" s="62">
        <v>2</v>
      </c>
      <c r="X31" s="62">
        <v>2</v>
      </c>
      <c r="Y31" s="62">
        <v>1</v>
      </c>
      <c r="Z31" s="62">
        <v>0</v>
      </c>
      <c r="AA31" s="372">
        <f t="shared" si="15"/>
        <v>7</v>
      </c>
      <c r="AB31" s="104">
        <f t="shared" si="1"/>
        <v>2.1564338744955485E-2</v>
      </c>
      <c r="AC31" s="217">
        <v>2</v>
      </c>
      <c r="AD31" s="217">
        <v>0</v>
      </c>
      <c r="AE31" s="217">
        <v>94</v>
      </c>
      <c r="AH31" t="s">
        <v>53</v>
      </c>
    </row>
    <row r="32" spans="1:34" ht="15" thickBot="1" x14ac:dyDescent="0.25">
      <c r="A32" s="11" t="s">
        <v>18</v>
      </c>
      <c r="B32" s="27">
        <v>1686</v>
      </c>
      <c r="C32" s="27">
        <v>1360</v>
      </c>
      <c r="D32" s="27">
        <v>1517</v>
      </c>
      <c r="E32" s="27">
        <v>1363</v>
      </c>
      <c r="F32" s="27">
        <v>3271</v>
      </c>
      <c r="G32" s="121">
        <f t="shared" si="16"/>
        <v>9197</v>
      </c>
      <c r="H32" s="60">
        <v>2</v>
      </c>
      <c r="I32" s="62">
        <v>1</v>
      </c>
      <c r="J32" s="62">
        <v>0</v>
      </c>
      <c r="K32" s="62">
        <v>0</v>
      </c>
      <c r="L32" s="48">
        <v>2</v>
      </c>
      <c r="M32" s="372">
        <f t="shared" si="14"/>
        <v>5</v>
      </c>
      <c r="N32" s="78">
        <f t="shared" si="3"/>
        <v>5.436555398499511E-2</v>
      </c>
      <c r="O32" s="62">
        <v>2</v>
      </c>
      <c r="P32" s="62">
        <v>2</v>
      </c>
      <c r="Q32" s="62">
        <v>2</v>
      </c>
      <c r="R32" s="62">
        <v>1</v>
      </c>
      <c r="S32" s="62">
        <v>6</v>
      </c>
      <c r="T32" s="372">
        <f t="shared" si="17"/>
        <v>13</v>
      </c>
      <c r="U32" s="92">
        <f t="shared" si="0"/>
        <v>0.14135044036098729</v>
      </c>
      <c r="V32" s="62">
        <v>1</v>
      </c>
      <c r="W32" s="62">
        <v>2</v>
      </c>
      <c r="X32" s="62">
        <v>4</v>
      </c>
      <c r="Y32" s="62">
        <v>0</v>
      </c>
      <c r="Z32" s="62">
        <v>3</v>
      </c>
      <c r="AA32" s="372">
        <f t="shared" si="15"/>
        <v>10</v>
      </c>
      <c r="AB32" s="104">
        <f t="shared" si="1"/>
        <v>0.10873110796999022</v>
      </c>
      <c r="AC32" s="217">
        <v>3</v>
      </c>
      <c r="AD32" s="217">
        <v>2</v>
      </c>
      <c r="AE32" s="217">
        <v>25</v>
      </c>
    </row>
    <row r="33" spans="1:32" ht="15" thickBot="1" x14ac:dyDescent="0.25">
      <c r="A33" s="11" t="s">
        <v>19</v>
      </c>
      <c r="B33" s="27">
        <v>9281</v>
      </c>
      <c r="C33" s="27">
        <v>5465</v>
      </c>
      <c r="D33" s="27">
        <v>11775</v>
      </c>
      <c r="E33" s="27">
        <v>9671</v>
      </c>
      <c r="F33" s="27">
        <v>7093</v>
      </c>
      <c r="G33" s="121">
        <f t="shared" si="16"/>
        <v>43285</v>
      </c>
      <c r="H33" s="60">
        <v>24</v>
      </c>
      <c r="I33" s="62">
        <v>12</v>
      </c>
      <c r="J33" s="62">
        <v>47</v>
      </c>
      <c r="K33" s="62">
        <v>13</v>
      </c>
      <c r="L33" s="48">
        <v>14</v>
      </c>
      <c r="M33" s="372">
        <f t="shared" si="14"/>
        <v>110</v>
      </c>
      <c r="N33" s="78">
        <f t="shared" si="3"/>
        <v>0.25412960609911056</v>
      </c>
      <c r="O33" s="62">
        <v>36</v>
      </c>
      <c r="P33" s="62">
        <v>29</v>
      </c>
      <c r="Q33" s="62">
        <v>43</v>
      </c>
      <c r="R33" s="62">
        <v>25</v>
      </c>
      <c r="S33" s="62">
        <v>17</v>
      </c>
      <c r="T33" s="372">
        <f t="shared" si="17"/>
        <v>150</v>
      </c>
      <c r="U33" s="92">
        <f t="shared" si="0"/>
        <v>0.34654037195333254</v>
      </c>
      <c r="V33" s="62">
        <v>9</v>
      </c>
      <c r="W33" s="62">
        <v>6</v>
      </c>
      <c r="X33" s="62">
        <v>21</v>
      </c>
      <c r="Y33" s="62">
        <v>7</v>
      </c>
      <c r="Z33" s="62">
        <v>7</v>
      </c>
      <c r="AA33" s="372">
        <f t="shared" si="15"/>
        <v>50</v>
      </c>
      <c r="AB33" s="104">
        <f t="shared" si="1"/>
        <v>0.11551345731777753</v>
      </c>
      <c r="AC33" s="217">
        <v>48</v>
      </c>
      <c r="AD33" s="217">
        <v>17</v>
      </c>
      <c r="AE33" s="217">
        <v>353</v>
      </c>
    </row>
    <row r="34" spans="1:32" ht="15" thickBot="1" x14ac:dyDescent="0.25">
      <c r="A34" s="11" t="s">
        <v>20</v>
      </c>
      <c r="B34" s="27">
        <v>7451</v>
      </c>
      <c r="C34" s="27">
        <v>4419</v>
      </c>
      <c r="D34" s="27">
        <v>9363</v>
      </c>
      <c r="E34" s="27">
        <v>8890</v>
      </c>
      <c r="F34" s="27">
        <v>4790</v>
      </c>
      <c r="G34" s="121">
        <f t="shared" si="16"/>
        <v>34913</v>
      </c>
      <c r="H34" s="60">
        <v>13</v>
      </c>
      <c r="I34" s="62">
        <v>8</v>
      </c>
      <c r="J34" s="62">
        <v>20</v>
      </c>
      <c r="K34" s="62">
        <v>12</v>
      </c>
      <c r="L34" s="48">
        <v>7</v>
      </c>
      <c r="M34" s="372">
        <f t="shared" si="14"/>
        <v>60</v>
      </c>
      <c r="N34" s="78">
        <f t="shared" si="3"/>
        <v>0.17185575573568584</v>
      </c>
      <c r="O34" s="62">
        <v>13</v>
      </c>
      <c r="P34" s="62">
        <v>9</v>
      </c>
      <c r="Q34" s="62">
        <v>21</v>
      </c>
      <c r="R34" s="62">
        <v>19</v>
      </c>
      <c r="S34" s="62">
        <v>5</v>
      </c>
      <c r="T34" s="372">
        <f t="shared" si="17"/>
        <v>67</v>
      </c>
      <c r="U34" s="92">
        <f t="shared" si="0"/>
        <v>0.19190559390484921</v>
      </c>
      <c r="V34" s="62">
        <v>5</v>
      </c>
      <c r="W34" s="62">
        <v>1</v>
      </c>
      <c r="X34" s="62">
        <v>11</v>
      </c>
      <c r="Y34" s="62">
        <v>0</v>
      </c>
      <c r="Z34" s="62">
        <v>5</v>
      </c>
      <c r="AA34" s="372">
        <f t="shared" si="15"/>
        <v>22</v>
      </c>
      <c r="AB34" s="104">
        <f t="shared" si="1"/>
        <v>6.3013777103084812E-2</v>
      </c>
      <c r="AC34" s="217">
        <v>22</v>
      </c>
      <c r="AD34" s="217">
        <v>10</v>
      </c>
      <c r="AE34" s="217">
        <v>243</v>
      </c>
    </row>
    <row r="35" spans="1:32" ht="15" thickBot="1" x14ac:dyDescent="0.25">
      <c r="A35" s="11" t="s">
        <v>25</v>
      </c>
      <c r="B35" s="27">
        <v>247</v>
      </c>
      <c r="C35" s="27">
        <v>339</v>
      </c>
      <c r="D35" s="27">
        <v>111</v>
      </c>
      <c r="E35" s="27">
        <v>87</v>
      </c>
      <c r="F35" s="27">
        <v>58</v>
      </c>
      <c r="G35" s="121">
        <f t="shared" si="16"/>
        <v>842</v>
      </c>
      <c r="H35" s="60">
        <v>0</v>
      </c>
      <c r="I35" s="62">
        <v>1</v>
      </c>
      <c r="J35" s="62">
        <v>1</v>
      </c>
      <c r="K35" s="62">
        <v>1</v>
      </c>
      <c r="L35" s="48">
        <v>0</v>
      </c>
      <c r="M35" s="372">
        <f t="shared" si="14"/>
        <v>3</v>
      </c>
      <c r="N35" s="78">
        <f t="shared" si="3"/>
        <v>0.35629453681710216</v>
      </c>
      <c r="O35" s="62">
        <v>3</v>
      </c>
      <c r="P35" s="62">
        <v>0</v>
      </c>
      <c r="Q35" s="62">
        <v>1</v>
      </c>
      <c r="R35" s="62">
        <v>2</v>
      </c>
      <c r="S35" s="62">
        <v>0</v>
      </c>
      <c r="T35" s="372">
        <f t="shared" si="17"/>
        <v>6</v>
      </c>
      <c r="U35" s="92">
        <f t="shared" si="0"/>
        <v>0.71258907363420432</v>
      </c>
      <c r="V35" s="62">
        <v>0</v>
      </c>
      <c r="W35" s="62">
        <v>0</v>
      </c>
      <c r="X35" s="62">
        <v>0</v>
      </c>
      <c r="Y35" s="62">
        <v>1</v>
      </c>
      <c r="Z35" s="62">
        <v>0</v>
      </c>
      <c r="AA35" s="372">
        <f t="shared" si="15"/>
        <v>1</v>
      </c>
      <c r="AB35" s="104">
        <f t="shared" si="1"/>
        <v>0.11876484560570071</v>
      </c>
      <c r="AC35" s="217">
        <v>8</v>
      </c>
      <c r="AD35" s="217">
        <v>1</v>
      </c>
      <c r="AE35" s="217">
        <v>42</v>
      </c>
    </row>
    <row r="36" spans="1:32" ht="15" thickBot="1" x14ac:dyDescent="0.25">
      <c r="A36" s="12" t="s">
        <v>26</v>
      </c>
      <c r="B36" s="29">
        <v>76366</v>
      </c>
      <c r="C36" s="29">
        <v>50796</v>
      </c>
      <c r="D36" s="27">
        <v>110645</v>
      </c>
      <c r="E36" s="29">
        <v>98136</v>
      </c>
      <c r="F36" s="29">
        <v>65286</v>
      </c>
      <c r="G36" s="121">
        <f t="shared" si="16"/>
        <v>401229</v>
      </c>
      <c r="H36" s="67">
        <v>127</v>
      </c>
      <c r="I36" s="68">
        <v>47</v>
      </c>
      <c r="J36" s="68">
        <v>203</v>
      </c>
      <c r="K36" s="68">
        <v>88</v>
      </c>
      <c r="L36" s="69">
        <v>65</v>
      </c>
      <c r="M36" s="372">
        <f t="shared" si="14"/>
        <v>530</v>
      </c>
      <c r="N36" s="96">
        <f t="shared" si="3"/>
        <v>0.13209414075253784</v>
      </c>
      <c r="O36" s="68">
        <v>171</v>
      </c>
      <c r="P36" s="68">
        <v>89</v>
      </c>
      <c r="Q36" s="68">
        <v>250</v>
      </c>
      <c r="R36" s="68">
        <v>141</v>
      </c>
      <c r="S36" s="68">
        <v>71</v>
      </c>
      <c r="T36" s="372">
        <f t="shared" si="17"/>
        <v>722</v>
      </c>
      <c r="U36" s="142">
        <f t="shared" si="0"/>
        <v>0.17994711249685341</v>
      </c>
      <c r="V36" s="68">
        <v>183</v>
      </c>
      <c r="W36" s="68">
        <v>15</v>
      </c>
      <c r="X36" s="68">
        <v>123</v>
      </c>
      <c r="Y36" s="68">
        <v>28</v>
      </c>
      <c r="Z36" s="68">
        <v>41</v>
      </c>
      <c r="AA36" s="372">
        <f t="shared" si="15"/>
        <v>390</v>
      </c>
      <c r="AB36" s="105">
        <f t="shared" si="1"/>
        <v>9.7201348855641037E-2</v>
      </c>
      <c r="AC36" s="217">
        <v>127</v>
      </c>
      <c r="AD36" s="217">
        <v>86</v>
      </c>
      <c r="AE36" s="372">
        <v>2905</v>
      </c>
    </row>
    <row r="37" spans="1:32" ht="15.75" thickBot="1" x14ac:dyDescent="0.3">
      <c r="A37" s="13" t="s">
        <v>21</v>
      </c>
      <c r="B37" s="30">
        <f t="shared" ref="B37:M37" si="18">SUM(B28:B36)</f>
        <v>106667</v>
      </c>
      <c r="C37" s="30">
        <f t="shared" si="18"/>
        <v>69630</v>
      </c>
      <c r="D37" s="30">
        <f t="shared" si="18"/>
        <v>148217</v>
      </c>
      <c r="E37" s="30">
        <f>SUM(E28:E36)</f>
        <v>131341</v>
      </c>
      <c r="F37" s="30">
        <f t="shared" si="18"/>
        <v>92101</v>
      </c>
      <c r="G37" s="122">
        <f t="shared" si="18"/>
        <v>547956</v>
      </c>
      <c r="H37" s="71">
        <f t="shared" si="18"/>
        <v>173</v>
      </c>
      <c r="I37" s="72">
        <f t="shared" si="18"/>
        <v>75</v>
      </c>
      <c r="J37" s="72">
        <f t="shared" si="18"/>
        <v>289</v>
      </c>
      <c r="K37" s="72">
        <f>SUM(K28:K36)</f>
        <v>127</v>
      </c>
      <c r="L37" s="72">
        <f t="shared" si="18"/>
        <v>97</v>
      </c>
      <c r="M37" s="325">
        <f t="shared" si="18"/>
        <v>761</v>
      </c>
      <c r="N37" s="118">
        <f t="shared" si="3"/>
        <v>0.13887976406864785</v>
      </c>
      <c r="O37" s="116">
        <f t="shared" ref="O37:T37" si="19">SUM(O28:O36)</f>
        <v>238</v>
      </c>
      <c r="P37" s="116">
        <f t="shared" si="19"/>
        <v>135</v>
      </c>
      <c r="Q37" s="116">
        <f t="shared" si="19"/>
        <v>336</v>
      </c>
      <c r="R37" s="116">
        <f>SUM(R28:R36)</f>
        <v>206</v>
      </c>
      <c r="S37" s="116">
        <f t="shared" si="19"/>
        <v>110</v>
      </c>
      <c r="T37" s="328">
        <f t="shared" si="19"/>
        <v>1025</v>
      </c>
      <c r="U37" s="91">
        <f t="shared" si="0"/>
        <v>0.18705881494134566</v>
      </c>
      <c r="V37" s="116">
        <f t="shared" ref="V37:AA37" si="20">SUM(V28:V36)</f>
        <v>200</v>
      </c>
      <c r="W37" s="116">
        <f t="shared" si="20"/>
        <v>27</v>
      </c>
      <c r="X37" s="116">
        <f t="shared" si="20"/>
        <v>165</v>
      </c>
      <c r="Y37" s="116">
        <f>SUM(Y28:Y36)</f>
        <v>38</v>
      </c>
      <c r="Z37" s="116">
        <f t="shared" si="20"/>
        <v>56</v>
      </c>
      <c r="AA37" s="328">
        <f t="shared" si="20"/>
        <v>486</v>
      </c>
      <c r="AB37" s="106">
        <f t="shared" si="1"/>
        <v>8.8693252742920961E-2</v>
      </c>
      <c r="AC37" s="132">
        <f>SUM(AC28:AC36)</f>
        <v>227</v>
      </c>
      <c r="AD37" s="115">
        <f>SUM(AD28:AD36)</f>
        <v>119</v>
      </c>
      <c r="AE37" s="117">
        <f>SUM(AE28:AE36)</f>
        <v>3778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</row>
    <row r="39" spans="1:32" ht="15.75" thickBot="1" x14ac:dyDescent="0.3">
      <c r="A39" s="15" t="s">
        <v>28</v>
      </c>
      <c r="B39" s="32"/>
      <c r="C39" s="32"/>
      <c r="D39" s="32"/>
      <c r="E39" s="32"/>
      <c r="F39" s="32"/>
      <c r="G39" s="126"/>
      <c r="H39" s="80"/>
      <c r="I39" s="80"/>
      <c r="J39" s="80"/>
      <c r="K39" s="80"/>
      <c r="L39" s="81"/>
      <c r="M39" s="82"/>
      <c r="N39" s="129"/>
      <c r="O39" s="80"/>
      <c r="P39" s="80"/>
      <c r="Q39" s="80"/>
      <c r="R39" s="80"/>
      <c r="S39" s="80"/>
      <c r="T39" s="79"/>
      <c r="U39" s="131"/>
      <c r="AA39" s="99"/>
      <c r="AC39" s="99"/>
      <c r="AD39" s="99"/>
      <c r="AE39" s="99"/>
    </row>
    <row r="40" spans="1:32" ht="15.75" thickBot="1" x14ac:dyDescent="0.3">
      <c r="A40" s="7" t="s">
        <v>41</v>
      </c>
      <c r="B40" s="27">
        <v>166</v>
      </c>
      <c r="C40" s="27">
        <v>117</v>
      </c>
      <c r="D40" s="27">
        <v>214</v>
      </c>
      <c r="E40" s="317">
        <v>186</v>
      </c>
      <c r="F40" s="317">
        <v>101</v>
      </c>
      <c r="G40" s="127">
        <f>SUM(B40:F40)</f>
        <v>784</v>
      </c>
      <c r="H40" s="44">
        <v>1</v>
      </c>
      <c r="I40" s="45">
        <v>0</v>
      </c>
      <c r="J40" s="45">
        <v>1</v>
      </c>
      <c r="K40" s="45">
        <v>0</v>
      </c>
      <c r="L40" s="83">
        <v>0</v>
      </c>
      <c r="M40" s="372">
        <f>SUM(H40:L40)</f>
        <v>2</v>
      </c>
      <c r="N40" s="144">
        <f t="shared" si="3"/>
        <v>0.25510204081632654</v>
      </c>
      <c r="O40" s="45">
        <v>3</v>
      </c>
      <c r="P40" s="45">
        <v>1</v>
      </c>
      <c r="Q40" s="45">
        <v>1</v>
      </c>
      <c r="R40" s="45">
        <v>2</v>
      </c>
      <c r="S40" s="45">
        <v>3</v>
      </c>
      <c r="T40" s="372">
        <f>SUM(O40:S40)</f>
        <v>10</v>
      </c>
      <c r="U40" s="306">
        <f t="shared" si="0"/>
        <v>1.2755102040816326</v>
      </c>
      <c r="V40" s="307">
        <v>0</v>
      </c>
      <c r="W40" s="307">
        <v>0</v>
      </c>
      <c r="X40" s="307">
        <v>0</v>
      </c>
      <c r="Y40" s="307">
        <f>Kölle14!E40</f>
        <v>0</v>
      </c>
      <c r="Z40" s="165">
        <v>1</v>
      </c>
      <c r="AA40" s="217">
        <f>SUM(V40:Z40)</f>
        <v>1</v>
      </c>
      <c r="AB40" s="107">
        <f t="shared" si="1"/>
        <v>0.12755102040816327</v>
      </c>
      <c r="AC40" s="102">
        <v>0</v>
      </c>
      <c r="AD40" s="102">
        <v>1</v>
      </c>
      <c r="AE40" s="102">
        <v>34</v>
      </c>
    </row>
    <row r="41" spans="1:32" ht="15.75" thickBot="1" x14ac:dyDescent="0.3">
      <c r="A41" s="12" t="s">
        <v>27</v>
      </c>
      <c r="B41" s="319">
        <v>58666</v>
      </c>
      <c r="C41" s="319">
        <v>49217</v>
      </c>
      <c r="D41" s="323">
        <v>33756</v>
      </c>
      <c r="E41" s="320">
        <v>72586</v>
      </c>
      <c r="F41" s="320">
        <v>68352</v>
      </c>
      <c r="G41" s="127">
        <f>SUM(B41:F41)</f>
        <v>282577</v>
      </c>
      <c r="H41" s="67">
        <v>19</v>
      </c>
      <c r="I41" s="68">
        <v>12</v>
      </c>
      <c r="J41" s="68">
        <v>38</v>
      </c>
      <c r="K41" s="68">
        <v>22</v>
      </c>
      <c r="L41" s="69">
        <v>13</v>
      </c>
      <c r="M41" s="372">
        <f>SUM(H41:L41)</f>
        <v>104</v>
      </c>
      <c r="N41" s="145">
        <f t="shared" si="3"/>
        <v>3.6804127724478636E-2</v>
      </c>
      <c r="O41" s="68">
        <v>13</v>
      </c>
      <c r="P41" s="68">
        <v>7</v>
      </c>
      <c r="Q41" s="68">
        <v>24</v>
      </c>
      <c r="R41" s="68">
        <v>10</v>
      </c>
      <c r="S41" s="68">
        <v>18</v>
      </c>
      <c r="T41" s="372">
        <f>SUM(O41:S41)</f>
        <v>72</v>
      </c>
      <c r="U41" s="213">
        <f t="shared" si="0"/>
        <v>2.5479780732331366E-2</v>
      </c>
      <c r="V41" s="313">
        <v>26</v>
      </c>
      <c r="W41" s="313">
        <v>1</v>
      </c>
      <c r="X41" s="314">
        <v>19</v>
      </c>
      <c r="Y41" s="314">
        <v>3</v>
      </c>
      <c r="Z41">
        <v>20</v>
      </c>
      <c r="AA41" s="393">
        <f>SUM(V41:Z41)</f>
        <v>69</v>
      </c>
      <c r="AB41" s="105">
        <f t="shared" si="1"/>
        <v>2.4418123201817559E-2</v>
      </c>
      <c r="AC41" s="114">
        <v>12</v>
      </c>
      <c r="AD41" s="114">
        <v>8</v>
      </c>
      <c r="AE41" s="114">
        <v>391</v>
      </c>
    </row>
    <row r="42" spans="1:32" ht="15.75" thickBot="1" x14ac:dyDescent="0.3">
      <c r="A42" s="13" t="s">
        <v>21</v>
      </c>
      <c r="B42" s="318">
        <f>SUM(B40:B41)</f>
        <v>58832</v>
      </c>
      <c r="C42" s="318">
        <f>SUM(C40:C41)</f>
        <v>49334</v>
      </c>
      <c r="D42" s="318">
        <f>SUM(D40:D41)</f>
        <v>33970</v>
      </c>
      <c r="E42" s="318">
        <f>SUM(E40:E41)</f>
        <v>72772</v>
      </c>
      <c r="F42" s="318">
        <f>SUM(F40:F41)</f>
        <v>68453</v>
      </c>
      <c r="G42" s="308">
        <f t="shared" ref="G42:M42" si="21">SUM(G40:G41)</f>
        <v>283361</v>
      </c>
      <c r="H42" s="120">
        <f>SUM(H40:H41)</f>
        <v>20</v>
      </c>
      <c r="I42" s="120">
        <f>SUM(I40:I41)</f>
        <v>12</v>
      </c>
      <c r="J42" s="120">
        <f>SUM(J40:J41)</f>
        <v>39</v>
      </c>
      <c r="K42" s="120">
        <f>SUM(K40:K41)</f>
        <v>22</v>
      </c>
      <c r="L42" s="120">
        <f>SUM(L40:L41)</f>
        <v>13</v>
      </c>
      <c r="M42" s="328">
        <f t="shared" si="21"/>
        <v>106</v>
      </c>
      <c r="N42" s="149">
        <f t="shared" si="3"/>
        <v>3.7408111913777832E-2</v>
      </c>
      <c r="O42" s="72">
        <f t="shared" ref="O42:T42" si="22">SUM(O40:O41)</f>
        <v>16</v>
      </c>
      <c r="P42" s="72">
        <f t="shared" si="22"/>
        <v>8</v>
      </c>
      <c r="Q42" s="72">
        <f t="shared" si="22"/>
        <v>25</v>
      </c>
      <c r="R42" s="72">
        <f t="shared" si="22"/>
        <v>12</v>
      </c>
      <c r="S42" s="72">
        <f t="shared" si="22"/>
        <v>21</v>
      </c>
      <c r="T42" s="329">
        <f t="shared" si="22"/>
        <v>82</v>
      </c>
      <c r="U42" s="214">
        <f t="shared" si="0"/>
        <v>2.8938350725752661E-2</v>
      </c>
      <c r="V42" s="316">
        <f>SUM(V40:V41)</f>
        <v>26</v>
      </c>
      <c r="W42" s="316">
        <f t="shared" ref="W42:Z42" si="23">SUM(W40:W41)</f>
        <v>1</v>
      </c>
      <c r="X42" s="316">
        <f t="shared" si="23"/>
        <v>19</v>
      </c>
      <c r="Y42" s="316">
        <f>SUM(Y40:Y41)</f>
        <v>3</v>
      </c>
      <c r="Z42" s="316">
        <f t="shared" si="23"/>
        <v>21</v>
      </c>
      <c r="AA42" s="330">
        <f>SUM(AA40:AA41)</f>
        <v>70</v>
      </c>
      <c r="AB42" s="312">
        <f t="shared" si="1"/>
        <v>2.4703470131740079E-2</v>
      </c>
      <c r="AC42" s="115">
        <f>SUM(AC40:AC41)</f>
        <v>12</v>
      </c>
      <c r="AD42" s="132">
        <f>SUM(AD40:AD41)</f>
        <v>9</v>
      </c>
      <c r="AE42" s="132">
        <f>SUM(AE40:AE41)</f>
        <v>425</v>
      </c>
    </row>
    <row r="43" spans="1:32" ht="15.75" thickBot="1" x14ac:dyDescent="0.3">
      <c r="A43" s="134" t="s">
        <v>49</v>
      </c>
      <c r="B43" s="310">
        <f>B11+B25+B37+B42</f>
        <v>170061</v>
      </c>
      <c r="C43" s="321">
        <f>C11+C25+C37+C42</f>
        <v>120223</v>
      </c>
      <c r="D43" s="311">
        <f>D11+D25+D37+D42</f>
        <v>187002</v>
      </c>
      <c r="E43" s="322">
        <f>SUM(B43:D43)</f>
        <v>477286</v>
      </c>
      <c r="F43" s="322">
        <f t="shared" ref="F43:M43" si="24">F11+F25+F37+F42</f>
        <v>162635</v>
      </c>
      <c r="G43" s="309">
        <f t="shared" si="24"/>
        <v>848501</v>
      </c>
      <c r="H43" s="139">
        <f t="shared" si="24"/>
        <v>198</v>
      </c>
      <c r="I43" s="139">
        <f t="shared" si="24"/>
        <v>92</v>
      </c>
      <c r="J43" s="139">
        <f t="shared" si="24"/>
        <v>335</v>
      </c>
      <c r="K43" s="139">
        <f>K11+K25+K37+K42</f>
        <v>156</v>
      </c>
      <c r="L43" s="139">
        <f t="shared" si="24"/>
        <v>115</v>
      </c>
      <c r="M43" s="141">
        <f t="shared" si="24"/>
        <v>896</v>
      </c>
      <c r="N43" s="146">
        <f t="shared" si="3"/>
        <v>0.10559798986683575</v>
      </c>
      <c r="O43" s="147">
        <f t="shared" ref="O43:T43" si="25">O11+O25+O37+O42</f>
        <v>269</v>
      </c>
      <c r="P43" s="148">
        <f t="shared" si="25"/>
        <v>148</v>
      </c>
      <c r="Q43" s="148">
        <f t="shared" si="25"/>
        <v>387</v>
      </c>
      <c r="R43" s="148">
        <f>R11+R25+R37+R42</f>
        <v>241</v>
      </c>
      <c r="S43" s="148">
        <f t="shared" si="25"/>
        <v>142</v>
      </c>
      <c r="T43" s="148">
        <f t="shared" si="25"/>
        <v>1187</v>
      </c>
      <c r="U43" s="94">
        <f t="shared" si="0"/>
        <v>0.13989376559367639</v>
      </c>
      <c r="V43" s="148">
        <f t="shared" ref="V43:AA43" si="26">V11+V25+V37+V42</f>
        <v>231</v>
      </c>
      <c r="W43" s="148">
        <f t="shared" si="26"/>
        <v>29</v>
      </c>
      <c r="X43" s="148">
        <f t="shared" si="26"/>
        <v>213</v>
      </c>
      <c r="Y43" s="148">
        <f t="shared" si="26"/>
        <v>44</v>
      </c>
      <c r="Z43" s="148">
        <f t="shared" si="26"/>
        <v>80</v>
      </c>
      <c r="AA43" s="148">
        <f t="shared" si="26"/>
        <v>597</v>
      </c>
      <c r="AB43" s="106">
        <f t="shared" si="1"/>
        <v>7.0359374944755512E-2</v>
      </c>
      <c r="AC43" s="140">
        <f>AC11+AC25+AC37+AC42</f>
        <v>254</v>
      </c>
      <c r="AD43" s="324">
        <f>AD11+AD25+AD37+AD42</f>
        <v>134</v>
      </c>
      <c r="AE43" s="140">
        <f>AE11+AE25+AE37+AE42</f>
        <v>4502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5">
    <pageSetUpPr fitToPage="1"/>
  </sheetPr>
  <dimension ref="A1:AJ46"/>
  <sheetViews>
    <sheetView topLeftCell="A16" zoomScale="80" zoomScaleNormal="80" workbookViewId="0">
      <selection activeCell="N6" sqref="N6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402" customFormat="1" ht="18" x14ac:dyDescent="0.25">
      <c r="A1" s="730" t="s">
        <v>119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402" customFormat="1" ht="9" customHeight="1" thickBot="1" x14ac:dyDescent="0.3"/>
    <row r="3" spans="1:36" ht="66.7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s="368" t="s">
        <v>116</v>
      </c>
      <c r="AA3" s="404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403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7" t="s">
        <v>1</v>
      </c>
      <c r="B6" s="22">
        <v>107</v>
      </c>
      <c r="C6" s="22">
        <v>35</v>
      </c>
      <c r="D6" s="22">
        <v>145</v>
      </c>
      <c r="E6" s="22">
        <v>86</v>
      </c>
      <c r="F6" s="22">
        <v>32</v>
      </c>
      <c r="G6" s="121">
        <f>SUM(B6:F6)</f>
        <v>405</v>
      </c>
      <c r="H6" s="44">
        <v>4</v>
      </c>
      <c r="I6" s="45">
        <v>1</v>
      </c>
      <c r="J6" s="45">
        <f>Düsseldorf14!C6</f>
        <v>0</v>
      </c>
      <c r="K6" s="45">
        <f>Kölle14!C6</f>
        <v>0</v>
      </c>
      <c r="L6" s="46">
        <v>1</v>
      </c>
      <c r="M6" s="217">
        <f>SUM(H6:L6)</f>
        <v>6</v>
      </c>
      <c r="N6" s="47">
        <f>M6*100/G6</f>
        <v>1.4814814814814814</v>
      </c>
      <c r="O6" s="45">
        <v>4</v>
      </c>
      <c r="P6" s="45">
        <v>1</v>
      </c>
      <c r="Q6" s="45">
        <v>2</v>
      </c>
      <c r="R6" s="45">
        <v>3</v>
      </c>
      <c r="S6" s="45">
        <v>0</v>
      </c>
      <c r="T6" s="217">
        <f>SUM(O6:S6)</f>
        <v>10</v>
      </c>
      <c r="U6" s="133">
        <f>T6*100/G6</f>
        <v>2.4691358024691357</v>
      </c>
      <c r="V6" s="45">
        <v>0</v>
      </c>
      <c r="W6" s="45">
        <f>Detmold14!E6</f>
        <v>0</v>
      </c>
      <c r="X6" s="45">
        <v>1</v>
      </c>
      <c r="Y6" s="45">
        <v>4</v>
      </c>
      <c r="Z6" s="45">
        <v>0</v>
      </c>
      <c r="AA6" s="215">
        <f>SUM(V6:Z6)</f>
        <v>5</v>
      </c>
      <c r="AB6" s="216">
        <f>AA6*100/G6</f>
        <v>1.2345679012345678</v>
      </c>
      <c r="AC6" s="217">
        <v>1</v>
      </c>
      <c r="AD6" s="217">
        <v>2</v>
      </c>
      <c r="AE6" s="217">
        <v>16</v>
      </c>
    </row>
    <row r="7" spans="1:36" ht="15" thickBot="1" x14ac:dyDescent="0.25">
      <c r="A7" s="8" t="s">
        <v>2</v>
      </c>
      <c r="B7" s="22">
        <v>603</v>
      </c>
      <c r="C7" s="22">
        <v>175</v>
      </c>
      <c r="D7" s="22">
        <v>840</v>
      </c>
      <c r="E7" s="22">
        <v>631</v>
      </c>
      <c r="F7" s="22">
        <v>299</v>
      </c>
      <c r="G7" s="121">
        <f>SUM(B7:F7)</f>
        <v>2548</v>
      </c>
      <c r="H7" s="44">
        <v>1</v>
      </c>
      <c r="I7" s="45">
        <v>0</v>
      </c>
      <c r="J7" s="45">
        <v>2</v>
      </c>
      <c r="K7" s="45">
        <v>4</v>
      </c>
      <c r="L7" s="46">
        <v>4</v>
      </c>
      <c r="M7" s="372">
        <f>SUM(H7:L7)</f>
        <v>11</v>
      </c>
      <c r="N7" s="49">
        <f>M7*100/G7</f>
        <v>0.43171114599686028</v>
      </c>
      <c r="O7" s="45">
        <v>0</v>
      </c>
      <c r="P7" s="45">
        <v>2</v>
      </c>
      <c r="Q7" s="45">
        <v>5</v>
      </c>
      <c r="R7" s="45">
        <v>12</v>
      </c>
      <c r="S7" s="45">
        <v>3</v>
      </c>
      <c r="T7" s="372">
        <f>SUM(O7:S7)</f>
        <v>22</v>
      </c>
      <c r="U7" s="92">
        <f>T7*100/G7</f>
        <v>0.86342229199372056</v>
      </c>
      <c r="V7" s="45">
        <v>1</v>
      </c>
      <c r="W7" s="45">
        <f>Detmold14!E7</f>
        <v>0</v>
      </c>
      <c r="X7" s="45">
        <v>8</v>
      </c>
      <c r="Y7" s="45">
        <v>8</v>
      </c>
      <c r="Z7" s="45">
        <v>1</v>
      </c>
      <c r="AA7" s="215">
        <f>SUM(V7:Z7)</f>
        <v>18</v>
      </c>
      <c r="AB7" s="104">
        <f>AA7*100/G7</f>
        <v>0.70643642072213497</v>
      </c>
      <c r="AC7" s="217">
        <v>2</v>
      </c>
      <c r="AD7" s="217">
        <v>4</v>
      </c>
      <c r="AE7" s="217">
        <v>74</v>
      </c>
    </row>
    <row r="8" spans="1:36" ht="15" thickBot="1" x14ac:dyDescent="0.25">
      <c r="A8" s="8" t="s">
        <v>14</v>
      </c>
      <c r="B8" s="22">
        <v>54</v>
      </c>
      <c r="C8" s="22">
        <v>31</v>
      </c>
      <c r="D8" s="22">
        <v>108</v>
      </c>
      <c r="E8" s="22">
        <v>95</v>
      </c>
      <c r="F8" s="22">
        <v>34</v>
      </c>
      <c r="G8" s="121">
        <f>SUM(B8:F8)</f>
        <v>322</v>
      </c>
      <c r="H8" s="44">
        <v>0</v>
      </c>
      <c r="I8" s="45">
        <v>0</v>
      </c>
      <c r="J8" s="45">
        <v>0</v>
      </c>
      <c r="K8" s="45">
        <v>2</v>
      </c>
      <c r="L8" s="46">
        <f>Münster14!C8</f>
        <v>0</v>
      </c>
      <c r="M8" s="217">
        <f>SUM(H8:L8)</f>
        <v>2</v>
      </c>
      <c r="N8" s="49">
        <f>M8*100/G8</f>
        <v>0.6211180124223602</v>
      </c>
      <c r="O8" s="45">
        <v>1</v>
      </c>
      <c r="P8" s="45">
        <v>0</v>
      </c>
      <c r="Q8" s="45">
        <v>0</v>
      </c>
      <c r="R8" s="45">
        <v>2</v>
      </c>
      <c r="S8" s="45">
        <v>0</v>
      </c>
      <c r="T8" s="217">
        <f>SUM(O8:S8)</f>
        <v>3</v>
      </c>
      <c r="U8" s="92">
        <f t="shared" ref="U8:U43" si="0">T8*100/G8</f>
        <v>0.93167701863354035</v>
      </c>
      <c r="V8" s="45">
        <v>0</v>
      </c>
      <c r="W8" s="45">
        <f>Detmold14!E8</f>
        <v>0</v>
      </c>
      <c r="X8" s="45">
        <v>0</v>
      </c>
      <c r="Y8" s="45">
        <v>0</v>
      </c>
      <c r="Z8" s="45">
        <v>0</v>
      </c>
      <c r="AA8" s="215">
        <f>SUM(V8:Z8)</f>
        <v>0</v>
      </c>
      <c r="AB8" s="104">
        <f t="shared" ref="AB8:AB43" si="1">AA8*100/G8</f>
        <v>0</v>
      </c>
      <c r="AC8" s="217">
        <v>3</v>
      </c>
      <c r="AD8" s="217">
        <v>0</v>
      </c>
      <c r="AE8" s="217">
        <v>16</v>
      </c>
    </row>
    <row r="9" spans="1:36" ht="15" thickBot="1" x14ac:dyDescent="0.25">
      <c r="A9" s="9" t="s">
        <v>3</v>
      </c>
      <c r="B9" s="22">
        <v>103</v>
      </c>
      <c r="C9" s="22">
        <v>74</v>
      </c>
      <c r="D9" s="22">
        <v>164</v>
      </c>
      <c r="E9" s="22">
        <v>126</v>
      </c>
      <c r="F9" s="22">
        <v>40</v>
      </c>
      <c r="G9" s="121">
        <f>SUM(B9:F9)</f>
        <v>507</v>
      </c>
      <c r="H9" s="44">
        <v>0</v>
      </c>
      <c r="I9" s="45">
        <v>0</v>
      </c>
      <c r="J9" s="45">
        <v>0</v>
      </c>
      <c r="K9" s="45">
        <v>4</v>
      </c>
      <c r="L9" s="46">
        <f>Münster14!C9</f>
        <v>0</v>
      </c>
      <c r="M9" s="372">
        <f>SUM(H9:L9)</f>
        <v>4</v>
      </c>
      <c r="N9" s="49">
        <f>M9*100/G9</f>
        <v>0.78895463510848129</v>
      </c>
      <c r="O9" s="45">
        <v>0</v>
      </c>
      <c r="P9" s="45">
        <v>0</v>
      </c>
      <c r="Q9" s="45">
        <v>0</v>
      </c>
      <c r="R9" s="45">
        <v>3</v>
      </c>
      <c r="S9" s="45">
        <v>0</v>
      </c>
      <c r="T9" s="372">
        <f>SUM(O9:S9)</f>
        <v>3</v>
      </c>
      <c r="U9" s="92">
        <f t="shared" si="0"/>
        <v>0.59171597633136097</v>
      </c>
      <c r="V9" s="45">
        <v>0</v>
      </c>
      <c r="W9" s="45">
        <f>Detmold14!E9</f>
        <v>0</v>
      </c>
      <c r="X9" s="45">
        <v>3</v>
      </c>
      <c r="Y9" s="45">
        <v>0</v>
      </c>
      <c r="Z9" s="45">
        <v>0</v>
      </c>
      <c r="AA9" s="215">
        <f>SUM(V9:Z9)</f>
        <v>3</v>
      </c>
      <c r="AB9" s="104">
        <f t="shared" si="1"/>
        <v>0.59171597633136097</v>
      </c>
      <c r="AC9" s="217">
        <f>Arnsberg14!F9+Detmold14!F9+Düsseldorf14!F9+Kölle14!F9+Münster14!F9</f>
        <v>0</v>
      </c>
      <c r="AD9" s="217">
        <v>1</v>
      </c>
      <c r="AE9" s="217">
        <v>13</v>
      </c>
    </row>
    <row r="10" spans="1:36" ht="24.75" thickBot="1" x14ac:dyDescent="0.25">
      <c r="A10" s="18" t="s">
        <v>23</v>
      </c>
      <c r="B10" s="22">
        <v>622</v>
      </c>
      <c r="C10" s="22">
        <v>202</v>
      </c>
      <c r="D10" s="22">
        <v>902</v>
      </c>
      <c r="E10" s="22">
        <v>785</v>
      </c>
      <c r="F10" s="22">
        <v>324</v>
      </c>
      <c r="G10" s="121">
        <f>SUM(B10:F10)</f>
        <v>2835</v>
      </c>
      <c r="H10" s="44">
        <v>4</v>
      </c>
      <c r="I10" s="45">
        <v>0</v>
      </c>
      <c r="J10" s="45">
        <v>0</v>
      </c>
      <c r="K10" s="45">
        <v>5</v>
      </c>
      <c r="L10" s="46">
        <v>1</v>
      </c>
      <c r="M10" s="372">
        <f>SUM(H10:L10)</f>
        <v>10</v>
      </c>
      <c r="N10" s="70">
        <f>M10*100/G10</f>
        <v>0.35273368606701938</v>
      </c>
      <c r="O10" s="45">
        <v>4</v>
      </c>
      <c r="P10" s="45">
        <v>3</v>
      </c>
      <c r="Q10" s="45">
        <v>3</v>
      </c>
      <c r="R10" s="45">
        <v>2</v>
      </c>
      <c r="S10" s="45">
        <v>3</v>
      </c>
      <c r="T10" s="84">
        <f>SUM(O10:S10)</f>
        <v>15</v>
      </c>
      <c r="U10" s="143">
        <f t="shared" si="0"/>
        <v>0.52910052910052907</v>
      </c>
      <c r="V10" s="45">
        <v>0</v>
      </c>
      <c r="W10" s="45">
        <f>Detmold14!E10</f>
        <v>0</v>
      </c>
      <c r="X10" s="45">
        <v>4</v>
      </c>
      <c r="Y10" s="45">
        <v>2</v>
      </c>
      <c r="Z10" s="45">
        <v>1</v>
      </c>
      <c r="AA10" s="215">
        <f>SUM(V10:Z10)</f>
        <v>7</v>
      </c>
      <c r="AB10" s="105">
        <f t="shared" si="1"/>
        <v>0.24691358024691357</v>
      </c>
      <c r="AC10" s="217">
        <v>1</v>
      </c>
      <c r="AD10" s="217">
        <v>4</v>
      </c>
      <c r="AE10" s="217">
        <v>66</v>
      </c>
    </row>
    <row r="11" spans="1:36" ht="15.75" thickBot="1" x14ac:dyDescent="0.3">
      <c r="A11" s="10" t="s">
        <v>21</v>
      </c>
      <c r="B11" s="24">
        <f>SUM(B6:B10)</f>
        <v>1489</v>
      </c>
      <c r="C11" s="24">
        <f>SUM(C6:C10)</f>
        <v>517</v>
      </c>
      <c r="D11" s="24">
        <f>SUM(D6:D10)</f>
        <v>2159</v>
      </c>
      <c r="E11" s="24">
        <f>SUM(E6:E10)</f>
        <v>1723</v>
      </c>
      <c r="F11" s="24">
        <f>SUM(F6:F10)</f>
        <v>729</v>
      </c>
      <c r="G11" s="122">
        <f t="shared" ref="G11:M11" si="2">SUM(G6:G10)</f>
        <v>6617</v>
      </c>
      <c r="H11" s="122">
        <f>SUM(H6:H10)</f>
        <v>9</v>
      </c>
      <c r="I11" s="122">
        <f>SUM(I6:I10)</f>
        <v>1</v>
      </c>
      <c r="J11" s="122">
        <f t="shared" si="2"/>
        <v>2</v>
      </c>
      <c r="K11" s="122">
        <f t="shared" si="2"/>
        <v>15</v>
      </c>
      <c r="L11" s="122">
        <f t="shared" si="2"/>
        <v>6</v>
      </c>
      <c r="M11" s="325">
        <f t="shared" si="2"/>
        <v>33</v>
      </c>
      <c r="N11" s="118">
        <f t="shared" ref="N11:N43" si="3">M11*100/G11</f>
        <v>0.49871542995315099</v>
      </c>
      <c r="O11" s="119">
        <f t="shared" ref="O11:T11" si="4">SUM(O6:O10)</f>
        <v>9</v>
      </c>
      <c r="P11" s="119">
        <f t="shared" si="4"/>
        <v>6</v>
      </c>
      <c r="Q11" s="119">
        <f t="shared" si="4"/>
        <v>10</v>
      </c>
      <c r="R11" s="119">
        <f>SUM(R6:R10)</f>
        <v>22</v>
      </c>
      <c r="S11" s="119">
        <f t="shared" si="4"/>
        <v>6</v>
      </c>
      <c r="T11" s="326">
        <f t="shared" si="4"/>
        <v>53</v>
      </c>
      <c r="U11" s="94">
        <f t="shared" si="0"/>
        <v>0.80096720568233337</v>
      </c>
      <c r="V11" s="119">
        <f t="shared" ref="V11:AA11" si="5">SUM(V6:V10)</f>
        <v>1</v>
      </c>
      <c r="W11" s="119">
        <f t="shared" si="5"/>
        <v>0</v>
      </c>
      <c r="X11" s="119">
        <f t="shared" si="5"/>
        <v>16</v>
      </c>
      <c r="Y11" s="119">
        <f>SUM(Y6:Y10)</f>
        <v>14</v>
      </c>
      <c r="Z11" s="119">
        <f t="shared" si="5"/>
        <v>2</v>
      </c>
      <c r="AA11" s="327">
        <f t="shared" si="5"/>
        <v>33</v>
      </c>
      <c r="AB11" s="106">
        <f t="shared" si="1"/>
        <v>0.49871542995315099</v>
      </c>
      <c r="AC11" s="132">
        <f>SUM(AC6:AC10)</f>
        <v>7</v>
      </c>
      <c r="AD11" s="115">
        <f>SUM(AD6:AD10)</f>
        <v>11</v>
      </c>
      <c r="AE11" s="115">
        <f>SUM(AE6:AE10)</f>
        <v>185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56"/>
      <c r="O13" s="54"/>
      <c r="P13" s="54"/>
      <c r="Q13" s="54"/>
      <c r="R13" s="54"/>
      <c r="S13" s="54"/>
      <c r="T13" s="86"/>
      <c r="U13" s="131"/>
      <c r="AA13" s="99"/>
      <c r="AC13" s="99"/>
      <c r="AD13" s="99"/>
      <c r="AE13" s="99"/>
    </row>
    <row r="14" spans="1:36" ht="15" thickBot="1" x14ac:dyDescent="0.25">
      <c r="A14" s="7" t="s">
        <v>4</v>
      </c>
      <c r="B14" s="22">
        <v>15</v>
      </c>
      <c r="C14" s="22">
        <v>3</v>
      </c>
      <c r="D14" s="22">
        <v>33</v>
      </c>
      <c r="E14" s="22">
        <v>42</v>
      </c>
      <c r="F14" s="22">
        <v>8</v>
      </c>
      <c r="G14" s="121">
        <f>SUM(B14:F14)</f>
        <v>101</v>
      </c>
      <c r="H14" s="57">
        <v>0</v>
      </c>
      <c r="I14" s="57">
        <f>Detmold14!C14</f>
        <v>0</v>
      </c>
      <c r="J14" s="58">
        <f>Düsseldorf14!C14</f>
        <v>0</v>
      </c>
      <c r="K14" s="45">
        <f>Kölle14!C14</f>
        <v>0</v>
      </c>
      <c r="L14" s="46">
        <f>Münster14!C14</f>
        <v>0</v>
      </c>
      <c r="M14" s="217">
        <f>SUM(H14:L14)</f>
        <v>0</v>
      </c>
      <c r="N14" s="51">
        <f t="shared" si="3"/>
        <v>0</v>
      </c>
      <c r="O14" s="58">
        <v>0</v>
      </c>
      <c r="P14" s="58">
        <f>Detmold14!D14</f>
        <v>0</v>
      </c>
      <c r="Q14" s="45">
        <v>0</v>
      </c>
      <c r="R14" s="45">
        <v>0</v>
      </c>
      <c r="S14" s="58">
        <v>0</v>
      </c>
      <c r="T14" s="372">
        <f>SUM(O14:S14)</f>
        <v>0</v>
      </c>
      <c r="U14" s="211">
        <f t="shared" si="0"/>
        <v>0</v>
      </c>
      <c r="V14" s="45">
        <f>Arnsberg14!E14</f>
        <v>0</v>
      </c>
      <c r="W14" s="45">
        <f>Detmold14!E14</f>
        <v>0</v>
      </c>
      <c r="X14" s="45">
        <f>Düsseldorf14!E14</f>
        <v>0</v>
      </c>
      <c r="Y14" s="45">
        <f>Kölle14!E14</f>
        <v>0</v>
      </c>
      <c r="Z14" s="45">
        <v>0</v>
      </c>
      <c r="AA14" s="217">
        <f>SUM(V14:Z14)</f>
        <v>0</v>
      </c>
      <c r="AB14" s="104">
        <f t="shared" si="1"/>
        <v>0</v>
      </c>
      <c r="AC14" s="217">
        <f>Arnsberg14!F14+Detmold14!F14+Düsseldorf14!F14+Kölle14!F14+Münster14!F14</f>
        <v>0</v>
      </c>
      <c r="AD14" s="217">
        <f>Arnsberg14!G14+Detmold14!G14+Düsseldorf14!G14+Kölle14!G14+Münster14!G14</f>
        <v>0</v>
      </c>
      <c r="AE14" s="217">
        <v>5</v>
      </c>
    </row>
    <row r="15" spans="1:36" ht="15" thickBot="1" x14ac:dyDescent="0.25">
      <c r="A15" s="11" t="s">
        <v>5</v>
      </c>
      <c r="B15" s="27">
        <v>210</v>
      </c>
      <c r="C15" s="27">
        <v>58</v>
      </c>
      <c r="D15" s="27">
        <v>306</v>
      </c>
      <c r="E15" s="27">
        <v>325</v>
      </c>
      <c r="F15" s="27">
        <v>107</v>
      </c>
      <c r="G15" s="121">
        <f t="shared" ref="G15:G24" si="6">SUM(B15:F15)</f>
        <v>1006</v>
      </c>
      <c r="H15" s="59">
        <v>0</v>
      </c>
      <c r="I15" s="60">
        <f>Detmold14!C15</f>
        <v>0</v>
      </c>
      <c r="J15" s="61">
        <v>1</v>
      </c>
      <c r="K15" s="62">
        <v>4</v>
      </c>
      <c r="L15" s="48">
        <v>0</v>
      </c>
      <c r="M15" s="372">
        <f>SUM(H15:L15)</f>
        <v>5</v>
      </c>
      <c r="N15" s="51">
        <f t="shared" si="3"/>
        <v>0.49701789264413521</v>
      </c>
      <c r="O15" s="62">
        <v>0</v>
      </c>
      <c r="P15" s="61">
        <v>0</v>
      </c>
      <c r="Q15" s="62">
        <v>4</v>
      </c>
      <c r="R15" s="62">
        <v>4</v>
      </c>
      <c r="S15" s="63">
        <v>0</v>
      </c>
      <c r="T15" s="372">
        <f>SUM(O15:S15)</f>
        <v>8</v>
      </c>
      <c r="U15" s="212">
        <f t="shared" si="0"/>
        <v>0.79522862823061635</v>
      </c>
      <c r="V15" s="62">
        <v>5</v>
      </c>
      <c r="W15" s="62">
        <v>1</v>
      </c>
      <c r="X15" s="62">
        <v>0</v>
      </c>
      <c r="Y15" s="62">
        <v>0</v>
      </c>
      <c r="Z15" s="62">
        <v>1</v>
      </c>
      <c r="AA15" s="372">
        <f>SUM(V15:Z15)</f>
        <v>7</v>
      </c>
      <c r="AB15" s="104">
        <f t="shared" si="1"/>
        <v>0.69582504970178927</v>
      </c>
      <c r="AC15" s="217">
        <v>0</v>
      </c>
      <c r="AD15" s="217">
        <v>0</v>
      </c>
      <c r="AE15" s="217">
        <v>40</v>
      </c>
    </row>
    <row r="16" spans="1:36" ht="15" thickBot="1" x14ac:dyDescent="0.25">
      <c r="A16" s="11" t="s">
        <v>6</v>
      </c>
      <c r="B16" s="28">
        <v>52</v>
      </c>
      <c r="C16" s="27">
        <v>23</v>
      </c>
      <c r="D16" s="27">
        <v>74</v>
      </c>
      <c r="E16" s="27">
        <v>49</v>
      </c>
      <c r="F16" s="27">
        <v>31</v>
      </c>
      <c r="G16" s="121">
        <f t="shared" si="6"/>
        <v>229</v>
      </c>
      <c r="H16" s="59">
        <v>0</v>
      </c>
      <c r="I16" s="60">
        <f>Detmold14!C16</f>
        <v>0</v>
      </c>
      <c r="J16" s="61">
        <f>Düsseldorf14!C16</f>
        <v>0</v>
      </c>
      <c r="K16" s="62">
        <f>Kölle14!C16</f>
        <v>0</v>
      </c>
      <c r="L16" s="48">
        <f>Münster14!C16</f>
        <v>0</v>
      </c>
      <c r="M16" s="217">
        <f t="shared" ref="M16:M20" si="7">SUM(H16:L16)</f>
        <v>0</v>
      </c>
      <c r="N16" s="51">
        <f t="shared" si="3"/>
        <v>0</v>
      </c>
      <c r="O16" s="64">
        <v>0</v>
      </c>
      <c r="P16" s="64">
        <f>Detmold14!D16</f>
        <v>0</v>
      </c>
      <c r="Q16" s="62">
        <v>0</v>
      </c>
      <c r="R16" s="62">
        <v>0</v>
      </c>
      <c r="S16" s="63">
        <f>Münster14!D16</f>
        <v>0</v>
      </c>
      <c r="T16" s="372">
        <f>SUM(O16:S16)</f>
        <v>0</v>
      </c>
      <c r="U16" s="212">
        <f t="shared" si="0"/>
        <v>0</v>
      </c>
      <c r="V16" s="62">
        <f>Arnsberg14!E16</f>
        <v>0</v>
      </c>
      <c r="W16" s="62">
        <v>1</v>
      </c>
      <c r="X16" s="62">
        <v>0</v>
      </c>
      <c r="Y16" s="62">
        <v>2</v>
      </c>
      <c r="Z16" s="62">
        <f>Münster14!E16</f>
        <v>0</v>
      </c>
      <c r="AA16" s="372">
        <f>SUM(V16:Z16)</f>
        <v>3</v>
      </c>
      <c r="AB16" s="104">
        <f t="shared" si="1"/>
        <v>1.3100436681222707</v>
      </c>
      <c r="AC16" s="217">
        <f>Arnsberg14!F16+Detmold14!F16+Düsseldorf14!F16+Kölle14!F16+Münster14!F16</f>
        <v>0</v>
      </c>
      <c r="AD16" s="217">
        <v>1</v>
      </c>
      <c r="AE16" s="217">
        <v>3</v>
      </c>
    </row>
    <row r="17" spans="1:34" ht="15" thickBot="1" x14ac:dyDescent="0.25">
      <c r="A17" s="11" t="s">
        <v>7</v>
      </c>
      <c r="B17" s="27">
        <v>29</v>
      </c>
      <c r="C17" s="27">
        <v>6</v>
      </c>
      <c r="D17" s="27">
        <v>56</v>
      </c>
      <c r="E17" s="27">
        <v>17</v>
      </c>
      <c r="F17" s="27">
        <v>28</v>
      </c>
      <c r="G17" s="121">
        <f t="shared" si="6"/>
        <v>136</v>
      </c>
      <c r="H17" s="59">
        <v>0</v>
      </c>
      <c r="I17" s="60">
        <f>Detmold14!C17</f>
        <v>0</v>
      </c>
      <c r="J17" s="61">
        <v>0</v>
      </c>
      <c r="K17" s="62">
        <v>0</v>
      </c>
      <c r="L17" s="48">
        <f>Münster14!C17</f>
        <v>0</v>
      </c>
      <c r="M17" s="372">
        <f>SUM(H17:L17)</f>
        <v>0</v>
      </c>
      <c r="N17" s="51">
        <f t="shared" si="3"/>
        <v>0</v>
      </c>
      <c r="O17" s="62">
        <v>0</v>
      </c>
      <c r="P17" s="62">
        <f>Detmold14!D17</f>
        <v>0</v>
      </c>
      <c r="Q17" s="62">
        <v>0</v>
      </c>
      <c r="R17" s="62">
        <v>0</v>
      </c>
      <c r="S17" s="63">
        <f>Münster14!D17</f>
        <v>0</v>
      </c>
      <c r="T17" s="372">
        <f>SUM(O17:S17)</f>
        <v>0</v>
      </c>
      <c r="U17" s="212">
        <f t="shared" si="0"/>
        <v>0</v>
      </c>
      <c r="V17" s="62">
        <f>Arnsberg14!E17</f>
        <v>0</v>
      </c>
      <c r="W17" s="62">
        <f>Detmold14!E17</f>
        <v>0</v>
      </c>
      <c r="X17" s="62">
        <f>Düsseldorf14!E17</f>
        <v>0</v>
      </c>
      <c r="Y17" s="62">
        <f>Kölle14!E17</f>
        <v>0</v>
      </c>
      <c r="Z17" s="62">
        <f>Münster14!E17</f>
        <v>0</v>
      </c>
      <c r="AA17" s="217">
        <f t="shared" ref="AA17:AA20" si="8">SUM(V17:Z17)</f>
        <v>0</v>
      </c>
      <c r="AB17" s="104">
        <f t="shared" si="1"/>
        <v>0</v>
      </c>
      <c r="AC17" s="217">
        <f>Arnsberg14!F17+Detmold14!F17+Düsseldorf14!F17+Kölle14!F17+Münster14!F17</f>
        <v>0</v>
      </c>
      <c r="AD17" s="217">
        <f>Arnsberg14!G17+Detmold14!G17+Düsseldorf14!G17+Kölle14!G17+Münster14!G17</f>
        <v>0</v>
      </c>
      <c r="AE17" s="217">
        <v>0</v>
      </c>
    </row>
    <row r="18" spans="1:34" ht="15" thickBot="1" x14ac:dyDescent="0.25">
      <c r="A18" s="11" t="s">
        <v>8</v>
      </c>
      <c r="B18" s="27">
        <v>7</v>
      </c>
      <c r="C18" s="27">
        <v>2</v>
      </c>
      <c r="D18" s="27">
        <v>7</v>
      </c>
      <c r="E18" s="27">
        <v>7</v>
      </c>
      <c r="F18" s="27">
        <v>3</v>
      </c>
      <c r="G18" s="121">
        <f t="shared" si="6"/>
        <v>26</v>
      </c>
      <c r="H18" s="59">
        <v>0</v>
      </c>
      <c r="I18" s="60">
        <f>Detmold14!C18</f>
        <v>0</v>
      </c>
      <c r="J18" s="61">
        <f>Düsseldorf14!C18</f>
        <v>0</v>
      </c>
      <c r="K18" s="62">
        <f>Kölle14!C18</f>
        <v>0</v>
      </c>
      <c r="L18" s="48">
        <f>Münster14!C18</f>
        <v>0</v>
      </c>
      <c r="M18" s="372">
        <f>SUM(H18:L18)</f>
        <v>0</v>
      </c>
      <c r="N18" s="51">
        <f t="shared" si="3"/>
        <v>0</v>
      </c>
      <c r="O18" s="62">
        <v>0</v>
      </c>
      <c r="P18" s="62">
        <f>Detmold14!D18</f>
        <v>0</v>
      </c>
      <c r="Q18" s="62">
        <v>0</v>
      </c>
      <c r="R18" s="62">
        <v>0</v>
      </c>
      <c r="S18" s="61">
        <f>Münster14!D18</f>
        <v>0</v>
      </c>
      <c r="T18" s="217">
        <f t="shared" ref="T18:T20" si="9">SUM(O18:S18)</f>
        <v>0</v>
      </c>
      <c r="U18" s="212">
        <f t="shared" si="0"/>
        <v>0</v>
      </c>
      <c r="V18" s="62">
        <v>0</v>
      </c>
      <c r="W18" s="62">
        <f>Detmold14!E18</f>
        <v>0</v>
      </c>
      <c r="X18" s="62">
        <f>Düsseldorf14!E18</f>
        <v>0</v>
      </c>
      <c r="Y18" s="62">
        <f>Kölle14!E18</f>
        <v>0</v>
      </c>
      <c r="Z18" s="62">
        <f>Münster14!E18</f>
        <v>0</v>
      </c>
      <c r="AA18" s="372">
        <f>SUM(V18:Z18)</f>
        <v>0</v>
      </c>
      <c r="AB18" s="104">
        <f t="shared" si="1"/>
        <v>0</v>
      </c>
      <c r="AC18" s="217">
        <f>Arnsberg14!F18+Detmold14!F18+Düsseldorf14!F18+Kölle14!F18+Münster14!F18</f>
        <v>0</v>
      </c>
      <c r="AD18" s="217">
        <f>Arnsberg14!G18+Detmold14!G18+Düsseldorf14!G18+Kölle14!G18+Münster14!G18</f>
        <v>0</v>
      </c>
      <c r="AE18" s="217">
        <v>1</v>
      </c>
    </row>
    <row r="19" spans="1:34" ht="15" thickBot="1" x14ac:dyDescent="0.25">
      <c r="A19" s="11" t="s">
        <v>9</v>
      </c>
      <c r="B19" s="27">
        <v>13</v>
      </c>
      <c r="C19" s="27">
        <v>4</v>
      </c>
      <c r="D19" s="27">
        <v>27</v>
      </c>
      <c r="E19" s="27">
        <v>19</v>
      </c>
      <c r="F19" s="27">
        <v>7</v>
      </c>
      <c r="G19" s="121">
        <f t="shared" si="6"/>
        <v>70</v>
      </c>
      <c r="H19" s="59">
        <v>0</v>
      </c>
      <c r="I19" s="60">
        <f>Detmold14!C19</f>
        <v>0</v>
      </c>
      <c r="J19" s="61">
        <v>0</v>
      </c>
      <c r="K19" s="62">
        <v>0</v>
      </c>
      <c r="L19" s="48">
        <f>Münster14!C19</f>
        <v>0</v>
      </c>
      <c r="M19" s="217">
        <f t="shared" si="7"/>
        <v>0</v>
      </c>
      <c r="N19" s="51">
        <f t="shared" si="3"/>
        <v>0</v>
      </c>
      <c r="O19" s="62">
        <v>0</v>
      </c>
      <c r="P19" s="62">
        <f>Detmold14!D19</f>
        <v>0</v>
      </c>
      <c r="Q19" s="62">
        <v>0</v>
      </c>
      <c r="R19" s="62">
        <v>0</v>
      </c>
      <c r="S19" s="65">
        <f>Münster14!D19</f>
        <v>0</v>
      </c>
      <c r="T19" s="217">
        <f t="shared" si="9"/>
        <v>0</v>
      </c>
      <c r="U19" s="212">
        <f t="shared" si="0"/>
        <v>0</v>
      </c>
      <c r="V19" s="62">
        <f>Arnsberg14!E19</f>
        <v>0</v>
      </c>
      <c r="W19" s="62">
        <f>Detmold14!E19</f>
        <v>0</v>
      </c>
      <c r="X19" s="62">
        <f>Düsseldorf14!E19</f>
        <v>0</v>
      </c>
      <c r="Y19" s="62">
        <f>Kölle14!E19</f>
        <v>0</v>
      </c>
      <c r="Z19" s="62">
        <f>Münster14!E19</f>
        <v>0</v>
      </c>
      <c r="AA19" s="217">
        <f t="shared" si="8"/>
        <v>0</v>
      </c>
      <c r="AB19" s="104">
        <f t="shared" si="1"/>
        <v>0</v>
      </c>
      <c r="AC19" s="217">
        <f>Arnsberg14!F19+Detmold14!F19+Düsseldorf14!F19+Kölle14!F19+Münster14!F19</f>
        <v>0</v>
      </c>
      <c r="AD19" s="217">
        <f>Arnsberg14!G19+Detmold14!G19+Düsseldorf14!G19+Kölle14!G19+Münster14!G19</f>
        <v>0</v>
      </c>
      <c r="AE19" s="217">
        <v>1</v>
      </c>
    </row>
    <row r="20" spans="1:34" ht="15" thickBot="1" x14ac:dyDescent="0.25">
      <c r="A20" s="11" t="s">
        <v>10</v>
      </c>
      <c r="B20" s="27">
        <v>7</v>
      </c>
      <c r="C20" s="27">
        <v>3</v>
      </c>
      <c r="D20" s="27">
        <v>11</v>
      </c>
      <c r="E20" s="27">
        <v>19</v>
      </c>
      <c r="F20" s="27">
        <v>6</v>
      </c>
      <c r="G20" s="121">
        <f t="shared" si="6"/>
        <v>46</v>
      </c>
      <c r="H20" s="59">
        <v>0</v>
      </c>
      <c r="I20" s="60">
        <f>Detmold14!C20</f>
        <v>0</v>
      </c>
      <c r="J20" s="61">
        <f>Düsseldorf14!C20</f>
        <v>0</v>
      </c>
      <c r="K20" s="62">
        <v>0</v>
      </c>
      <c r="L20" s="48">
        <f>Münster14!C20</f>
        <v>0</v>
      </c>
      <c r="M20" s="217">
        <f t="shared" si="7"/>
        <v>0</v>
      </c>
      <c r="N20" s="51">
        <f t="shared" si="3"/>
        <v>0</v>
      </c>
      <c r="O20" s="62">
        <v>0</v>
      </c>
      <c r="P20" s="62">
        <f>Detmold14!D20</f>
        <v>0</v>
      </c>
      <c r="Q20" s="62">
        <v>0</v>
      </c>
      <c r="R20" s="62">
        <v>0</v>
      </c>
      <c r="S20" s="65">
        <v>1</v>
      </c>
      <c r="T20" s="217">
        <f t="shared" si="9"/>
        <v>1</v>
      </c>
      <c r="U20" s="212">
        <f t="shared" si="0"/>
        <v>2.1739130434782608</v>
      </c>
      <c r="V20" s="62">
        <f>Arnsberg14!E20</f>
        <v>0</v>
      </c>
      <c r="W20" s="62">
        <f>Detmold14!E20</f>
        <v>0</v>
      </c>
      <c r="X20" s="62">
        <f>Düsseldorf14!E20</f>
        <v>0</v>
      </c>
      <c r="Y20" s="62">
        <f>Kölle14!E20</f>
        <v>0</v>
      </c>
      <c r="Z20" s="62">
        <f>Münster14!E20</f>
        <v>0</v>
      </c>
      <c r="AA20" s="217">
        <f t="shared" si="8"/>
        <v>0</v>
      </c>
      <c r="AB20" s="104">
        <f t="shared" si="1"/>
        <v>0</v>
      </c>
      <c r="AC20" s="217">
        <f>Arnsberg14!F20+Detmold14!F20+Düsseldorf14!F20+Kölle14!F20+Münster14!F20</f>
        <v>0</v>
      </c>
      <c r="AD20" s="217">
        <f>Arnsberg14!G20+Detmold14!G20+Düsseldorf14!G20+Kölle14!G20+Münster14!G20</f>
        <v>0</v>
      </c>
      <c r="AE20" s="217">
        <v>2</v>
      </c>
    </row>
    <row r="21" spans="1:34" ht="15" thickBot="1" x14ac:dyDescent="0.25">
      <c r="A21" s="11" t="s">
        <v>11</v>
      </c>
      <c r="B21" s="27">
        <v>107</v>
      </c>
      <c r="C21" s="27">
        <v>22</v>
      </c>
      <c r="D21" s="27">
        <v>125</v>
      </c>
      <c r="E21" s="27">
        <v>127</v>
      </c>
      <c r="F21" s="27">
        <v>39</v>
      </c>
      <c r="G21" s="121">
        <f t="shared" si="6"/>
        <v>420</v>
      </c>
      <c r="H21" s="66">
        <v>2</v>
      </c>
      <c r="I21" s="66">
        <f>Detmold14!C21</f>
        <v>0</v>
      </c>
      <c r="J21" s="64">
        <v>0</v>
      </c>
      <c r="K21" s="62">
        <v>2</v>
      </c>
      <c r="L21" s="50"/>
      <c r="M21" s="372">
        <f>SUM(H21:L21)</f>
        <v>4</v>
      </c>
      <c r="N21" s="51">
        <f t="shared" si="3"/>
        <v>0.95238095238095233</v>
      </c>
      <c r="O21" s="62">
        <v>0</v>
      </c>
      <c r="P21" s="62">
        <v>0</v>
      </c>
      <c r="Q21" s="62">
        <v>0</v>
      </c>
      <c r="R21" s="62">
        <v>3</v>
      </c>
      <c r="S21" s="64">
        <f>Münster14!D21</f>
        <v>0</v>
      </c>
      <c r="T21" s="372">
        <f>SUM(O21:S21)</f>
        <v>3</v>
      </c>
      <c r="U21" s="212">
        <f t="shared" si="0"/>
        <v>0.7142857142857143</v>
      </c>
      <c r="V21" s="62">
        <f>Arnsberg14!E21</f>
        <v>0</v>
      </c>
      <c r="W21" s="62">
        <f>Detmold14!E21</f>
        <v>0</v>
      </c>
      <c r="X21" s="62">
        <v>0</v>
      </c>
      <c r="Y21" s="62">
        <v>3</v>
      </c>
      <c r="Z21" s="62">
        <v>0</v>
      </c>
      <c r="AA21" s="372">
        <f>SUM(V21:Z21)</f>
        <v>3</v>
      </c>
      <c r="AB21" s="104">
        <f t="shared" si="1"/>
        <v>0.7142857142857143</v>
      </c>
      <c r="AC21" s="217">
        <v>1</v>
      </c>
      <c r="AD21" s="217">
        <v>0</v>
      </c>
      <c r="AE21" s="217">
        <v>11</v>
      </c>
    </row>
    <row r="22" spans="1:34" ht="15" thickBot="1" x14ac:dyDescent="0.25">
      <c r="A22" s="11" t="s">
        <v>12</v>
      </c>
      <c r="B22" s="27">
        <v>957</v>
      </c>
      <c r="C22" s="27">
        <v>449</v>
      </c>
      <c r="D22" s="27">
        <v>1696</v>
      </c>
      <c r="E22" s="27">
        <v>1394</v>
      </c>
      <c r="F22" s="27">
        <v>691</v>
      </c>
      <c r="G22" s="121">
        <f t="shared" si="6"/>
        <v>5187</v>
      </c>
      <c r="H22" s="60">
        <v>2</v>
      </c>
      <c r="I22" s="62">
        <v>1</v>
      </c>
      <c r="J22" s="62">
        <v>5</v>
      </c>
      <c r="K22" s="62">
        <v>5</v>
      </c>
      <c r="L22" s="48">
        <v>1</v>
      </c>
      <c r="M22" s="372">
        <f>SUM(H22:L22)</f>
        <v>14</v>
      </c>
      <c r="N22" s="51">
        <f t="shared" si="3"/>
        <v>0.26990553306342779</v>
      </c>
      <c r="O22" s="62">
        <v>2</v>
      </c>
      <c r="P22" s="62">
        <v>4</v>
      </c>
      <c r="Q22" s="62">
        <v>8</v>
      </c>
      <c r="R22" s="62">
        <v>10</v>
      </c>
      <c r="S22" s="62">
        <v>1</v>
      </c>
      <c r="T22" s="372">
        <f>SUM(O22:S22)</f>
        <v>25</v>
      </c>
      <c r="U22" s="212">
        <f t="shared" si="0"/>
        <v>0.48197416618469252</v>
      </c>
      <c r="V22" s="62">
        <v>1</v>
      </c>
      <c r="W22" s="62">
        <v>2</v>
      </c>
      <c r="X22" s="62">
        <v>6</v>
      </c>
      <c r="Y22" s="62">
        <v>1</v>
      </c>
      <c r="Z22" s="62">
        <v>1</v>
      </c>
      <c r="AA22" s="372">
        <f>SUM(V22:Z22)</f>
        <v>11</v>
      </c>
      <c r="AB22" s="104">
        <f t="shared" si="1"/>
        <v>0.2120686331212647</v>
      </c>
      <c r="AC22" s="217">
        <v>3</v>
      </c>
      <c r="AD22" s="217">
        <v>5</v>
      </c>
      <c r="AE22" s="217">
        <v>89</v>
      </c>
    </row>
    <row r="23" spans="1:34" ht="15" thickBot="1" x14ac:dyDescent="0.25">
      <c r="A23" s="12" t="s">
        <v>13</v>
      </c>
      <c r="B23" s="29">
        <v>6</v>
      </c>
      <c r="C23" s="29">
        <v>2</v>
      </c>
      <c r="D23" s="27">
        <v>7</v>
      </c>
      <c r="E23" s="29">
        <v>5</v>
      </c>
      <c r="F23" s="27">
        <v>2</v>
      </c>
      <c r="G23" s="121">
        <f t="shared" si="6"/>
        <v>22</v>
      </c>
      <c r="H23" s="67">
        <v>1</v>
      </c>
      <c r="I23" s="68">
        <f>Detmold14!C23</f>
        <v>0</v>
      </c>
      <c r="J23" s="68">
        <f>Düsseldorf14!C23</f>
        <v>0</v>
      </c>
      <c r="K23" s="68">
        <f>Kölle14!C23</f>
        <v>0</v>
      </c>
      <c r="L23" s="69">
        <f>Münster14!C23</f>
        <v>0</v>
      </c>
      <c r="M23" s="372">
        <f>SUM(H23:L23)</f>
        <v>1</v>
      </c>
      <c r="N23" s="51">
        <f t="shared" si="3"/>
        <v>4.5454545454545459</v>
      </c>
      <c r="O23" s="68">
        <v>0</v>
      </c>
      <c r="P23" s="68">
        <f>Detmold14!D23</f>
        <v>0</v>
      </c>
      <c r="Q23" s="68">
        <v>2</v>
      </c>
      <c r="R23" s="68">
        <v>0</v>
      </c>
      <c r="S23" s="68">
        <f>Münster14!D23</f>
        <v>0</v>
      </c>
      <c r="T23" s="372">
        <f>SUM(O23:S23)</f>
        <v>2</v>
      </c>
      <c r="U23" s="212">
        <f t="shared" si="0"/>
        <v>9.0909090909090917</v>
      </c>
      <c r="V23" s="68">
        <f>Arnsberg14!E23</f>
        <v>0</v>
      </c>
      <c r="W23" s="68">
        <f>Detmold14!E23</f>
        <v>0</v>
      </c>
      <c r="X23" s="68">
        <v>0</v>
      </c>
      <c r="Y23" s="68">
        <f>Kölle14!E23</f>
        <v>0</v>
      </c>
      <c r="Z23" s="68">
        <f>Münster14!E23</f>
        <v>0</v>
      </c>
      <c r="AA23" s="372">
        <f>SUM(V23:Z23)</f>
        <v>0</v>
      </c>
      <c r="AB23" s="104">
        <f t="shared" si="1"/>
        <v>0</v>
      </c>
      <c r="AC23" s="217">
        <v>3</v>
      </c>
      <c r="AD23" s="217">
        <v>1</v>
      </c>
      <c r="AE23" s="217">
        <v>21</v>
      </c>
    </row>
    <row r="24" spans="1:34" ht="24.75" thickBot="1" x14ac:dyDescent="0.25">
      <c r="A24" s="18" t="s">
        <v>23</v>
      </c>
      <c r="B24" s="23">
        <v>452</v>
      </c>
      <c r="C24" s="23">
        <v>221</v>
      </c>
      <c r="D24" s="27">
        <v>607</v>
      </c>
      <c r="E24" s="23">
        <v>694</v>
      </c>
      <c r="F24" s="27">
        <v>215</v>
      </c>
      <c r="G24" s="121">
        <f t="shared" si="6"/>
        <v>2189</v>
      </c>
      <c r="H24" s="150">
        <v>0</v>
      </c>
      <c r="I24" s="68">
        <v>1</v>
      </c>
      <c r="J24" s="68">
        <v>1</v>
      </c>
      <c r="K24" s="68">
        <v>2</v>
      </c>
      <c r="L24" s="69">
        <v>0</v>
      </c>
      <c r="M24" s="372">
        <f>SUM(H24:L24)</f>
        <v>4</v>
      </c>
      <c r="N24" s="70">
        <f t="shared" si="3"/>
        <v>0.18273184102329831</v>
      </c>
      <c r="O24" s="89">
        <v>3</v>
      </c>
      <c r="P24" s="68">
        <v>1</v>
      </c>
      <c r="Q24" s="89">
        <v>4</v>
      </c>
      <c r="R24" s="89">
        <v>9</v>
      </c>
      <c r="S24" s="68">
        <v>0</v>
      </c>
      <c r="T24" s="372">
        <f>SUM(O24:S24)</f>
        <v>17</v>
      </c>
      <c r="U24" s="213">
        <f t="shared" si="0"/>
        <v>0.77661032434901778</v>
      </c>
      <c r="V24" s="89">
        <v>1</v>
      </c>
      <c r="W24" s="89">
        <v>3</v>
      </c>
      <c r="X24" s="89">
        <v>3</v>
      </c>
      <c r="Y24" s="89">
        <v>3</v>
      </c>
      <c r="Z24" s="89">
        <f>Münster14!E24</f>
        <v>0</v>
      </c>
      <c r="AA24" s="372">
        <f>SUM(V24:Z24)</f>
        <v>10</v>
      </c>
      <c r="AB24" s="105">
        <f t="shared" si="1"/>
        <v>0.45682960255824578</v>
      </c>
      <c r="AC24" s="217">
        <v>2</v>
      </c>
      <c r="AD24" s="217">
        <v>1</v>
      </c>
      <c r="AE24" s="217">
        <v>50</v>
      </c>
    </row>
    <row r="25" spans="1:34" ht="15.75" thickBot="1" x14ac:dyDescent="0.3">
      <c r="A25" s="13" t="s">
        <v>22</v>
      </c>
      <c r="B25" s="30">
        <f t="shared" ref="B25:I25" si="10">SUM(B14:B24)</f>
        <v>1855</v>
      </c>
      <c r="C25" s="30">
        <f t="shared" si="10"/>
        <v>793</v>
      </c>
      <c r="D25" s="30">
        <f t="shared" si="10"/>
        <v>2949</v>
      </c>
      <c r="E25" s="30">
        <f t="shared" si="10"/>
        <v>2698</v>
      </c>
      <c r="F25" s="30">
        <f t="shared" si="10"/>
        <v>1137</v>
      </c>
      <c r="G25" s="122">
        <f t="shared" si="10"/>
        <v>9432</v>
      </c>
      <c r="H25" s="71">
        <f t="shared" si="10"/>
        <v>5</v>
      </c>
      <c r="I25" s="72">
        <f t="shared" si="10"/>
        <v>2</v>
      </c>
      <c r="J25" s="72">
        <f>SUM(J14:J24)</f>
        <v>7</v>
      </c>
      <c r="K25" s="72">
        <f t="shared" ref="K25:L25" si="11">SUM(K14:K24)</f>
        <v>13</v>
      </c>
      <c r="L25" s="72">
        <f t="shared" si="11"/>
        <v>1</v>
      </c>
      <c r="M25" s="325">
        <f>SUM(M14:M24)</f>
        <v>28</v>
      </c>
      <c r="N25" s="118">
        <f t="shared" si="3"/>
        <v>0.29686174724342662</v>
      </c>
      <c r="O25" s="116">
        <f t="shared" ref="O25:T25" si="12">SUM(O14:O24)</f>
        <v>5</v>
      </c>
      <c r="P25" s="116">
        <f t="shared" si="12"/>
        <v>5</v>
      </c>
      <c r="Q25" s="116">
        <f t="shared" si="12"/>
        <v>18</v>
      </c>
      <c r="R25" s="116">
        <f>SUM(R14:R24)</f>
        <v>26</v>
      </c>
      <c r="S25" s="116">
        <f t="shared" si="12"/>
        <v>2</v>
      </c>
      <c r="T25" s="328">
        <f t="shared" si="12"/>
        <v>56</v>
      </c>
      <c r="U25" s="214">
        <f t="shared" si="0"/>
        <v>0.59372349448685324</v>
      </c>
      <c r="V25" s="116">
        <f t="shared" ref="V25:AA25" si="13">SUM(V14:V24)</f>
        <v>7</v>
      </c>
      <c r="W25" s="116">
        <f t="shared" si="13"/>
        <v>7</v>
      </c>
      <c r="X25" s="116">
        <f t="shared" si="13"/>
        <v>9</v>
      </c>
      <c r="Y25" s="116">
        <f t="shared" si="13"/>
        <v>9</v>
      </c>
      <c r="Z25" s="116">
        <f t="shared" si="13"/>
        <v>2</v>
      </c>
      <c r="AA25" s="328">
        <f t="shared" si="13"/>
        <v>34</v>
      </c>
      <c r="AB25" s="106">
        <f t="shared" si="1"/>
        <v>0.36047497879558948</v>
      </c>
      <c r="AC25" s="132">
        <f>SUM(AC14:AC24)</f>
        <v>9</v>
      </c>
      <c r="AD25" s="115">
        <f>SUM(AD14:AD24)</f>
        <v>8</v>
      </c>
      <c r="AE25" s="115">
        <f>SUM(AE14:AE24)</f>
        <v>223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75"/>
      <c r="O27" s="74"/>
      <c r="P27" s="74"/>
      <c r="Q27" s="74"/>
      <c r="R27" s="74"/>
      <c r="S27" s="74"/>
      <c r="T27" s="88"/>
      <c r="U27" s="131"/>
      <c r="AA27" s="99"/>
      <c r="AC27" s="99"/>
      <c r="AD27" s="113"/>
      <c r="AE27" s="99"/>
    </row>
    <row r="28" spans="1:34" ht="15" thickBot="1" x14ac:dyDescent="0.25">
      <c r="A28" s="7" t="s">
        <v>15</v>
      </c>
      <c r="B28" s="22">
        <v>3065</v>
      </c>
      <c r="C28" s="22">
        <v>1846</v>
      </c>
      <c r="D28" s="22">
        <v>3585</v>
      </c>
      <c r="E28" s="22">
        <v>3263</v>
      </c>
      <c r="F28" s="22">
        <v>2986</v>
      </c>
      <c r="G28" s="121">
        <f>SUM(B28:F28)</f>
        <v>14745</v>
      </c>
      <c r="H28" s="44">
        <v>5</v>
      </c>
      <c r="I28" s="45">
        <v>1</v>
      </c>
      <c r="J28" s="45">
        <v>0</v>
      </c>
      <c r="K28" s="45">
        <v>4</v>
      </c>
      <c r="L28" s="76">
        <v>0</v>
      </c>
      <c r="M28" s="372">
        <f t="shared" ref="M28:M36" si="14">SUM(H28:L28)</f>
        <v>10</v>
      </c>
      <c r="N28" s="77">
        <f t="shared" si="3"/>
        <v>6.7819599864360799E-2</v>
      </c>
      <c r="O28" s="45">
        <v>7</v>
      </c>
      <c r="P28" s="45">
        <v>3</v>
      </c>
      <c r="Q28" s="45">
        <v>6</v>
      </c>
      <c r="R28" s="45">
        <v>5</v>
      </c>
      <c r="S28" s="45">
        <v>2</v>
      </c>
      <c r="T28" s="305">
        <f>SUM(O28:S28)</f>
        <v>23</v>
      </c>
      <c r="U28" s="133">
        <f t="shared" si="0"/>
        <v>0.15598507968802985</v>
      </c>
      <c r="V28" s="45">
        <v>0</v>
      </c>
      <c r="W28" s="45">
        <v>1</v>
      </c>
      <c r="X28" s="45">
        <v>0</v>
      </c>
      <c r="Y28" s="45">
        <v>0</v>
      </c>
      <c r="Z28" s="45">
        <v>2</v>
      </c>
      <c r="AA28" s="372">
        <f t="shared" ref="AA28:AA36" si="15">SUM(V28:Z28)</f>
        <v>3</v>
      </c>
      <c r="AB28" s="104">
        <f t="shared" si="1"/>
        <v>2.0345879959308241E-2</v>
      </c>
      <c r="AC28" s="217">
        <v>0</v>
      </c>
      <c r="AD28" s="217">
        <v>0</v>
      </c>
      <c r="AE28" s="217">
        <v>57</v>
      </c>
    </row>
    <row r="29" spans="1:34" ht="15" thickBot="1" x14ac:dyDescent="0.25">
      <c r="A29" s="11" t="s">
        <v>16</v>
      </c>
      <c r="B29" s="27">
        <v>1273</v>
      </c>
      <c r="C29" s="27">
        <v>817</v>
      </c>
      <c r="D29" s="27">
        <v>1804</v>
      </c>
      <c r="E29" s="27">
        <v>1443</v>
      </c>
      <c r="F29" s="27">
        <v>951</v>
      </c>
      <c r="G29" s="121">
        <f t="shared" ref="G29:G36" si="16">SUM(B29:F29)</f>
        <v>6288</v>
      </c>
      <c r="H29" s="60">
        <v>1</v>
      </c>
      <c r="I29" s="62">
        <v>2</v>
      </c>
      <c r="J29" s="62">
        <v>8</v>
      </c>
      <c r="K29" s="62">
        <v>5</v>
      </c>
      <c r="L29" s="48">
        <v>2</v>
      </c>
      <c r="M29" s="372">
        <f t="shared" si="14"/>
        <v>18</v>
      </c>
      <c r="N29" s="78">
        <f t="shared" si="3"/>
        <v>0.2862595419847328</v>
      </c>
      <c r="O29" s="62">
        <v>6</v>
      </c>
      <c r="P29" s="62">
        <v>1</v>
      </c>
      <c r="Q29" s="62">
        <v>7</v>
      </c>
      <c r="R29" s="62">
        <v>4</v>
      </c>
      <c r="S29" s="62">
        <v>1</v>
      </c>
      <c r="T29" s="372">
        <f t="shared" ref="T29:T36" si="17">SUM(O29:S29)</f>
        <v>19</v>
      </c>
      <c r="U29" s="92">
        <f t="shared" si="0"/>
        <v>0.30216284987277353</v>
      </c>
      <c r="V29" s="62">
        <v>0</v>
      </c>
      <c r="W29" s="62">
        <v>4</v>
      </c>
      <c r="X29" s="62">
        <v>3</v>
      </c>
      <c r="Y29" s="62">
        <v>0</v>
      </c>
      <c r="Z29" s="62">
        <v>1</v>
      </c>
      <c r="AA29" s="372">
        <f t="shared" si="15"/>
        <v>8</v>
      </c>
      <c r="AB29" s="104">
        <f t="shared" si="1"/>
        <v>0.1272264631043257</v>
      </c>
      <c r="AC29" s="217">
        <v>5</v>
      </c>
      <c r="AD29" s="217">
        <v>7</v>
      </c>
      <c r="AE29" s="217">
        <v>53</v>
      </c>
    </row>
    <row r="30" spans="1:34" ht="15" thickBot="1" x14ac:dyDescent="0.25">
      <c r="A30" s="11" t="s">
        <v>35</v>
      </c>
      <c r="B30" s="27">
        <v>1019</v>
      </c>
      <c r="C30" s="27">
        <v>654</v>
      </c>
      <c r="D30" s="27">
        <v>864</v>
      </c>
      <c r="E30" s="27">
        <v>829</v>
      </c>
      <c r="F30" s="27">
        <v>1292</v>
      </c>
      <c r="G30" s="121">
        <f t="shared" si="16"/>
        <v>4658</v>
      </c>
      <c r="H30" s="60">
        <v>1</v>
      </c>
      <c r="I30" s="62">
        <v>1</v>
      </c>
      <c r="J30" s="62">
        <v>1</v>
      </c>
      <c r="K30" s="62">
        <v>2</v>
      </c>
      <c r="L30" s="48">
        <v>0</v>
      </c>
      <c r="M30" s="372">
        <f t="shared" si="14"/>
        <v>5</v>
      </c>
      <c r="N30" s="78">
        <f t="shared" si="3"/>
        <v>0.10734220695577501</v>
      </c>
      <c r="O30" s="62">
        <v>4</v>
      </c>
      <c r="P30" s="62">
        <v>2</v>
      </c>
      <c r="Q30" s="62">
        <v>12</v>
      </c>
      <c r="R30" s="62">
        <v>7</v>
      </c>
      <c r="S30" s="62">
        <v>7</v>
      </c>
      <c r="T30" s="372">
        <f t="shared" si="17"/>
        <v>32</v>
      </c>
      <c r="U30" s="92">
        <f t="shared" si="0"/>
        <v>0.68699012451696007</v>
      </c>
      <c r="V30" s="62">
        <v>2</v>
      </c>
      <c r="W30" s="62">
        <v>1</v>
      </c>
      <c r="X30" s="62">
        <v>1</v>
      </c>
      <c r="Y30" s="62">
        <v>1</v>
      </c>
      <c r="Z30" s="62">
        <v>1</v>
      </c>
      <c r="AA30" s="372">
        <f t="shared" si="15"/>
        <v>6</v>
      </c>
      <c r="AB30" s="104">
        <f t="shared" si="1"/>
        <v>0.12881064834693001</v>
      </c>
      <c r="AC30" s="217">
        <v>4</v>
      </c>
      <c r="AD30" s="217">
        <v>1</v>
      </c>
      <c r="AE30" s="217">
        <v>12</v>
      </c>
    </row>
    <row r="31" spans="1:34" ht="15" thickBot="1" x14ac:dyDescent="0.25">
      <c r="A31" s="11" t="s">
        <v>17</v>
      </c>
      <c r="B31" s="27">
        <v>6952</v>
      </c>
      <c r="C31" s="27">
        <v>3818</v>
      </c>
      <c r="D31" s="27">
        <v>8829</v>
      </c>
      <c r="E31" s="27">
        <v>7159</v>
      </c>
      <c r="F31" s="27">
        <v>5800</v>
      </c>
      <c r="G31" s="121">
        <f t="shared" si="16"/>
        <v>32558</v>
      </c>
      <c r="H31" s="60">
        <v>2</v>
      </c>
      <c r="I31" s="62">
        <v>1</v>
      </c>
      <c r="J31" s="62">
        <v>6</v>
      </c>
      <c r="K31" s="62">
        <v>2</v>
      </c>
      <c r="L31" s="48">
        <v>3</v>
      </c>
      <c r="M31" s="372">
        <f t="shared" si="14"/>
        <v>14</v>
      </c>
      <c r="N31" s="78">
        <f t="shared" si="3"/>
        <v>4.3000184286504088E-2</v>
      </c>
      <c r="O31" s="62">
        <v>1</v>
      </c>
      <c r="P31" s="62">
        <v>3</v>
      </c>
      <c r="Q31" s="62">
        <v>8</v>
      </c>
      <c r="R31" s="62">
        <v>5</v>
      </c>
      <c r="S31" s="62">
        <v>2</v>
      </c>
      <c r="T31" s="372">
        <f t="shared" si="17"/>
        <v>19</v>
      </c>
      <c r="U31" s="92">
        <f t="shared" si="0"/>
        <v>5.8357392960255543E-2</v>
      </c>
      <c r="V31" s="62">
        <v>1</v>
      </c>
      <c r="W31" s="62">
        <v>2</v>
      </c>
      <c r="X31" s="62">
        <v>2</v>
      </c>
      <c r="Y31" s="62">
        <v>1</v>
      </c>
      <c r="Z31" s="62">
        <v>0</v>
      </c>
      <c r="AA31" s="372">
        <f t="shared" si="15"/>
        <v>6</v>
      </c>
      <c r="AB31" s="104">
        <f t="shared" si="1"/>
        <v>1.8428650408501751E-2</v>
      </c>
      <c r="AC31" s="217">
        <v>3</v>
      </c>
      <c r="AD31" s="217">
        <v>7</v>
      </c>
      <c r="AE31" s="217">
        <v>110</v>
      </c>
      <c r="AH31" t="s">
        <v>53</v>
      </c>
    </row>
    <row r="32" spans="1:34" ht="15" thickBot="1" x14ac:dyDescent="0.25">
      <c r="A32" s="11" t="s">
        <v>18</v>
      </c>
      <c r="B32" s="27">
        <v>1687</v>
      </c>
      <c r="C32" s="27">
        <v>1264</v>
      </c>
      <c r="D32" s="27">
        <v>1615</v>
      </c>
      <c r="E32" s="27">
        <v>1315</v>
      </c>
      <c r="F32" s="27">
        <v>3005</v>
      </c>
      <c r="G32" s="121">
        <f t="shared" si="16"/>
        <v>8886</v>
      </c>
      <c r="H32" s="60">
        <v>0</v>
      </c>
      <c r="I32" s="62">
        <v>2</v>
      </c>
      <c r="J32" s="62">
        <v>5</v>
      </c>
      <c r="K32" s="62">
        <v>1</v>
      </c>
      <c r="L32" s="48">
        <v>0</v>
      </c>
      <c r="M32" s="372">
        <f t="shared" si="14"/>
        <v>8</v>
      </c>
      <c r="N32" s="78">
        <f t="shared" si="3"/>
        <v>9.0029259509340542E-2</v>
      </c>
      <c r="O32" s="62">
        <v>3</v>
      </c>
      <c r="P32" s="62">
        <v>0</v>
      </c>
      <c r="Q32" s="62">
        <v>1</v>
      </c>
      <c r="R32" s="62">
        <v>1</v>
      </c>
      <c r="S32" s="62">
        <v>4</v>
      </c>
      <c r="T32" s="372">
        <f t="shared" si="17"/>
        <v>9</v>
      </c>
      <c r="U32" s="92">
        <f t="shared" si="0"/>
        <v>0.1012829169480081</v>
      </c>
      <c r="V32" s="62">
        <v>0</v>
      </c>
      <c r="W32" s="62">
        <v>0</v>
      </c>
      <c r="X32" s="62">
        <v>4</v>
      </c>
      <c r="Y32" s="62">
        <v>1</v>
      </c>
      <c r="Z32" s="62">
        <v>0</v>
      </c>
      <c r="AA32" s="372">
        <f t="shared" si="15"/>
        <v>5</v>
      </c>
      <c r="AB32" s="104">
        <f t="shared" si="1"/>
        <v>5.6268287193337832E-2</v>
      </c>
      <c r="AC32" s="217">
        <v>5</v>
      </c>
      <c r="AD32" s="217">
        <v>2</v>
      </c>
      <c r="AE32" s="217">
        <v>40</v>
      </c>
    </row>
    <row r="33" spans="1:32" ht="15" thickBot="1" x14ac:dyDescent="0.25">
      <c r="A33" s="11" t="s">
        <v>19</v>
      </c>
      <c r="B33" s="27">
        <v>9524</v>
      </c>
      <c r="C33" s="27">
        <v>5744</v>
      </c>
      <c r="D33" s="27">
        <v>11052</v>
      </c>
      <c r="E33" s="27">
        <v>9515</v>
      </c>
      <c r="F33" s="27">
        <v>6642</v>
      </c>
      <c r="G33" s="121">
        <f t="shared" si="16"/>
        <v>42477</v>
      </c>
      <c r="H33" s="60">
        <v>23</v>
      </c>
      <c r="I33" s="62">
        <v>6</v>
      </c>
      <c r="J33" s="62">
        <v>32</v>
      </c>
      <c r="K33" s="62">
        <v>29</v>
      </c>
      <c r="L33" s="48">
        <v>9</v>
      </c>
      <c r="M33" s="372">
        <f t="shared" si="14"/>
        <v>99</v>
      </c>
      <c r="N33" s="78">
        <f t="shared" si="3"/>
        <v>0.23306730701320716</v>
      </c>
      <c r="O33" s="62">
        <v>37</v>
      </c>
      <c r="P33" s="62">
        <v>14</v>
      </c>
      <c r="Q33" s="62">
        <v>47</v>
      </c>
      <c r="R33" s="62">
        <v>37</v>
      </c>
      <c r="S33" s="62">
        <v>18</v>
      </c>
      <c r="T33" s="372">
        <f t="shared" si="17"/>
        <v>153</v>
      </c>
      <c r="U33" s="92">
        <f t="shared" si="0"/>
        <v>0.36019492902041106</v>
      </c>
      <c r="V33" s="62">
        <v>7</v>
      </c>
      <c r="W33" s="62">
        <v>4</v>
      </c>
      <c r="X33" s="62">
        <v>21</v>
      </c>
      <c r="Y33" s="62">
        <v>3</v>
      </c>
      <c r="Z33" s="62">
        <v>7</v>
      </c>
      <c r="AA33" s="372">
        <f t="shared" si="15"/>
        <v>42</v>
      </c>
      <c r="AB33" s="104">
        <f t="shared" si="1"/>
        <v>9.8877039338936365E-2</v>
      </c>
      <c r="AC33" s="217">
        <v>27</v>
      </c>
      <c r="AD33" s="217">
        <v>21</v>
      </c>
      <c r="AE33" s="217">
        <v>285</v>
      </c>
    </row>
    <row r="34" spans="1:32" ht="15" thickBot="1" x14ac:dyDescent="0.25">
      <c r="A34" s="11" t="s">
        <v>20</v>
      </c>
      <c r="B34" s="27">
        <v>7311</v>
      </c>
      <c r="C34" s="27">
        <v>4642</v>
      </c>
      <c r="D34" s="27">
        <v>8633</v>
      </c>
      <c r="E34" s="27">
        <v>8573</v>
      </c>
      <c r="F34" s="27">
        <v>4807</v>
      </c>
      <c r="G34" s="121">
        <f t="shared" si="16"/>
        <v>33966</v>
      </c>
      <c r="H34" s="60">
        <v>6</v>
      </c>
      <c r="I34" s="62">
        <v>16</v>
      </c>
      <c r="J34" s="62">
        <v>30</v>
      </c>
      <c r="K34" s="62">
        <v>4</v>
      </c>
      <c r="L34" s="48">
        <v>7</v>
      </c>
      <c r="M34" s="372">
        <f t="shared" si="14"/>
        <v>63</v>
      </c>
      <c r="N34" s="78">
        <f t="shared" si="3"/>
        <v>0.18547959724430313</v>
      </c>
      <c r="O34" s="62">
        <v>10</v>
      </c>
      <c r="P34" s="62">
        <v>12</v>
      </c>
      <c r="Q34" s="62">
        <v>31</v>
      </c>
      <c r="R34" s="62">
        <v>22</v>
      </c>
      <c r="S34" s="62">
        <v>11</v>
      </c>
      <c r="T34" s="372">
        <f t="shared" si="17"/>
        <v>86</v>
      </c>
      <c r="U34" s="92">
        <f t="shared" si="0"/>
        <v>0.25319437084142965</v>
      </c>
      <c r="V34" s="62">
        <v>1</v>
      </c>
      <c r="W34" s="62">
        <v>2</v>
      </c>
      <c r="X34" s="62">
        <v>11</v>
      </c>
      <c r="Y34" s="62">
        <v>5</v>
      </c>
      <c r="Z34" s="62">
        <v>9</v>
      </c>
      <c r="AA34" s="372">
        <f t="shared" si="15"/>
        <v>28</v>
      </c>
      <c r="AB34" s="104">
        <f t="shared" si="1"/>
        <v>8.2435376553023618E-2</v>
      </c>
      <c r="AC34" s="217">
        <v>33</v>
      </c>
      <c r="AD34" s="217">
        <v>12</v>
      </c>
      <c r="AE34" s="217">
        <v>298</v>
      </c>
    </row>
    <row r="35" spans="1:32" ht="15" thickBot="1" x14ac:dyDescent="0.25">
      <c r="A35" s="11" t="s">
        <v>25</v>
      </c>
      <c r="B35" s="27">
        <v>129</v>
      </c>
      <c r="C35" s="27">
        <v>136</v>
      </c>
      <c r="D35" s="27">
        <v>386</v>
      </c>
      <c r="E35" s="27">
        <v>129</v>
      </c>
      <c r="F35" s="27">
        <v>176</v>
      </c>
      <c r="G35" s="121">
        <f t="shared" si="16"/>
        <v>956</v>
      </c>
      <c r="H35" s="60">
        <v>0</v>
      </c>
      <c r="I35" s="62">
        <v>0</v>
      </c>
      <c r="J35" s="62">
        <v>1</v>
      </c>
      <c r="K35" s="62">
        <v>1</v>
      </c>
      <c r="L35" s="48">
        <v>0</v>
      </c>
      <c r="M35" s="372">
        <f t="shared" si="14"/>
        <v>2</v>
      </c>
      <c r="N35" s="78">
        <f t="shared" si="3"/>
        <v>0.20920502092050208</v>
      </c>
      <c r="O35" s="62">
        <v>1</v>
      </c>
      <c r="P35" s="62">
        <v>0</v>
      </c>
      <c r="Q35" s="62">
        <v>2</v>
      </c>
      <c r="R35" s="62">
        <v>9</v>
      </c>
      <c r="S35" s="62">
        <v>0</v>
      </c>
      <c r="T35" s="372">
        <f t="shared" si="17"/>
        <v>12</v>
      </c>
      <c r="U35" s="92">
        <f t="shared" si="0"/>
        <v>1.2552301255230125</v>
      </c>
      <c r="V35" s="62">
        <v>1</v>
      </c>
      <c r="W35" s="62">
        <v>0</v>
      </c>
      <c r="X35" s="62">
        <v>0</v>
      </c>
      <c r="Y35" s="62">
        <v>0</v>
      </c>
      <c r="Z35" s="62">
        <v>0</v>
      </c>
      <c r="AA35" s="372">
        <f t="shared" si="15"/>
        <v>1</v>
      </c>
      <c r="AB35" s="104">
        <f t="shared" si="1"/>
        <v>0.10460251046025104</v>
      </c>
      <c r="AC35" s="217">
        <v>4</v>
      </c>
      <c r="AD35" s="217">
        <v>3</v>
      </c>
      <c r="AE35" s="217">
        <v>46</v>
      </c>
    </row>
    <row r="36" spans="1:32" ht="15" thickBot="1" x14ac:dyDescent="0.25">
      <c r="A36" s="12" t="s">
        <v>26</v>
      </c>
      <c r="B36" s="29">
        <v>77513</v>
      </c>
      <c r="C36" s="29">
        <v>52491</v>
      </c>
      <c r="D36" s="27">
        <v>113013</v>
      </c>
      <c r="E36" s="29">
        <v>100087</v>
      </c>
      <c r="F36" s="29">
        <v>67410</v>
      </c>
      <c r="G36" s="121">
        <f t="shared" si="16"/>
        <v>410514</v>
      </c>
      <c r="H36" s="67">
        <v>113</v>
      </c>
      <c r="I36" s="68">
        <v>56</v>
      </c>
      <c r="J36" s="68">
        <v>162</v>
      </c>
      <c r="K36" s="68">
        <v>118</v>
      </c>
      <c r="L36" s="69">
        <v>52</v>
      </c>
      <c r="M36" s="372">
        <f t="shared" si="14"/>
        <v>501</v>
      </c>
      <c r="N36" s="96">
        <f t="shared" si="3"/>
        <v>0.1220421228021456</v>
      </c>
      <c r="O36" s="68">
        <v>155</v>
      </c>
      <c r="P36" s="68">
        <v>87</v>
      </c>
      <c r="Q36" s="68">
        <v>197</v>
      </c>
      <c r="R36" s="68">
        <v>179</v>
      </c>
      <c r="S36" s="68">
        <v>67</v>
      </c>
      <c r="T36" s="372">
        <f t="shared" si="17"/>
        <v>685</v>
      </c>
      <c r="U36" s="142">
        <f t="shared" si="0"/>
        <v>0.1668639802783827</v>
      </c>
      <c r="V36" s="68">
        <v>189</v>
      </c>
      <c r="W36" s="68">
        <v>23</v>
      </c>
      <c r="X36" s="68">
        <v>123</v>
      </c>
      <c r="Y36" s="68">
        <v>48</v>
      </c>
      <c r="Z36" s="68">
        <v>42</v>
      </c>
      <c r="AA36" s="372">
        <f t="shared" si="15"/>
        <v>425</v>
      </c>
      <c r="AB36" s="105">
        <f t="shared" si="1"/>
        <v>0.10352874688804767</v>
      </c>
      <c r="AC36" s="217">
        <v>96</v>
      </c>
      <c r="AD36" s="217">
        <v>68</v>
      </c>
      <c r="AE36" s="372">
        <v>2911</v>
      </c>
    </row>
    <row r="37" spans="1:32" ht="15.75" thickBot="1" x14ac:dyDescent="0.3">
      <c r="A37" s="13" t="s">
        <v>21</v>
      </c>
      <c r="B37" s="30">
        <f t="shared" ref="B37:M37" si="18">SUM(B28:B36)</f>
        <v>108473</v>
      </c>
      <c r="C37" s="30">
        <f t="shared" si="18"/>
        <v>71412</v>
      </c>
      <c r="D37" s="30">
        <f t="shared" si="18"/>
        <v>149781</v>
      </c>
      <c r="E37" s="30">
        <f>SUM(E28:E36)</f>
        <v>132313</v>
      </c>
      <c r="F37" s="30">
        <f t="shared" si="18"/>
        <v>93069</v>
      </c>
      <c r="G37" s="122">
        <f t="shared" si="18"/>
        <v>555048</v>
      </c>
      <c r="H37" s="71">
        <f t="shared" si="18"/>
        <v>151</v>
      </c>
      <c r="I37" s="72">
        <f t="shared" si="18"/>
        <v>85</v>
      </c>
      <c r="J37" s="72">
        <f t="shared" si="18"/>
        <v>245</v>
      </c>
      <c r="K37" s="72">
        <f>SUM(K28:K36)</f>
        <v>166</v>
      </c>
      <c r="L37" s="72">
        <f t="shared" si="18"/>
        <v>73</v>
      </c>
      <c r="M37" s="325">
        <f t="shared" si="18"/>
        <v>720</v>
      </c>
      <c r="N37" s="118">
        <f t="shared" si="3"/>
        <v>0.12971851083149566</v>
      </c>
      <c r="O37" s="116">
        <f t="shared" ref="O37:T37" si="19">SUM(O28:O36)</f>
        <v>224</v>
      </c>
      <c r="P37" s="116">
        <f t="shared" si="19"/>
        <v>122</v>
      </c>
      <c r="Q37" s="116">
        <f t="shared" si="19"/>
        <v>311</v>
      </c>
      <c r="R37" s="116">
        <f>SUM(R28:R36)</f>
        <v>269</v>
      </c>
      <c r="S37" s="116">
        <f t="shared" si="19"/>
        <v>112</v>
      </c>
      <c r="T37" s="328">
        <f t="shared" si="19"/>
        <v>1038</v>
      </c>
      <c r="U37" s="91">
        <f t="shared" si="0"/>
        <v>0.18701085311540624</v>
      </c>
      <c r="V37" s="116">
        <f t="shared" ref="V37:AA37" si="20">SUM(V28:V36)</f>
        <v>201</v>
      </c>
      <c r="W37" s="116">
        <f t="shared" si="20"/>
        <v>37</v>
      </c>
      <c r="X37" s="116">
        <f t="shared" si="20"/>
        <v>165</v>
      </c>
      <c r="Y37" s="116">
        <f>SUM(Y28:Y36)</f>
        <v>59</v>
      </c>
      <c r="Z37" s="116">
        <f t="shared" si="20"/>
        <v>62</v>
      </c>
      <c r="AA37" s="328">
        <f t="shared" si="20"/>
        <v>524</v>
      </c>
      <c r="AB37" s="106">
        <f t="shared" si="1"/>
        <v>9.4406249549588497E-2</v>
      </c>
      <c r="AC37" s="132">
        <f>SUM(AC28:AC36)</f>
        <v>177</v>
      </c>
      <c r="AD37" s="115">
        <f>SUM(AD28:AD36)</f>
        <v>121</v>
      </c>
      <c r="AE37" s="117">
        <f>SUM(AE28:AE36)</f>
        <v>3812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</row>
    <row r="39" spans="1:32" ht="15.75" thickBot="1" x14ac:dyDescent="0.3">
      <c r="A39" s="15" t="s">
        <v>28</v>
      </c>
      <c r="B39" s="32"/>
      <c r="C39" s="32"/>
      <c r="D39" s="32"/>
      <c r="E39" s="32"/>
      <c r="F39" s="32"/>
      <c r="G39" s="126"/>
      <c r="H39" s="80"/>
      <c r="I39" s="80"/>
      <c r="J39" s="80"/>
      <c r="K39" s="80"/>
      <c r="L39" s="81"/>
      <c r="M39" s="82"/>
      <c r="N39" s="129"/>
      <c r="O39" s="80"/>
      <c r="P39" s="80"/>
      <c r="Q39" s="80"/>
      <c r="R39" s="80"/>
      <c r="S39" s="80"/>
      <c r="T39" s="79"/>
      <c r="U39" s="131"/>
      <c r="AA39" s="99"/>
      <c r="AC39" s="99"/>
      <c r="AD39" s="99"/>
      <c r="AE39" s="99"/>
    </row>
    <row r="40" spans="1:32" ht="15.75" thickBot="1" x14ac:dyDescent="0.3">
      <c r="A40" s="7" t="s">
        <v>41</v>
      </c>
      <c r="B40" s="27">
        <v>208</v>
      </c>
      <c r="C40" s="27">
        <v>133</v>
      </c>
      <c r="D40" s="27">
        <v>209</v>
      </c>
      <c r="E40" s="317">
        <v>225</v>
      </c>
      <c r="F40" s="317">
        <v>117</v>
      </c>
      <c r="G40" s="127">
        <f>SUM(B40:F40)</f>
        <v>892</v>
      </c>
      <c r="H40" s="44">
        <v>1</v>
      </c>
      <c r="I40" s="45">
        <v>0</v>
      </c>
      <c r="J40" s="45">
        <v>0</v>
      </c>
      <c r="K40" s="45">
        <v>3</v>
      </c>
      <c r="L40" s="83">
        <v>0</v>
      </c>
      <c r="M40" s="372">
        <f>SUM(H40:L40)</f>
        <v>4</v>
      </c>
      <c r="N40" s="144">
        <f t="shared" si="3"/>
        <v>0.44843049327354262</v>
      </c>
      <c r="O40" s="45">
        <v>1</v>
      </c>
      <c r="P40" s="45">
        <v>1</v>
      </c>
      <c r="Q40" s="45">
        <v>3</v>
      </c>
      <c r="R40" s="45">
        <v>2</v>
      </c>
      <c r="S40" s="45">
        <v>0</v>
      </c>
      <c r="T40" s="372">
        <f>SUM(O40:S40)</f>
        <v>7</v>
      </c>
      <c r="U40" s="306">
        <f t="shared" si="0"/>
        <v>0.7847533632286996</v>
      </c>
      <c r="V40" s="307">
        <v>0</v>
      </c>
      <c r="W40" s="307">
        <v>0</v>
      </c>
      <c r="X40" s="307">
        <v>0</v>
      </c>
      <c r="Y40" s="307">
        <v>2</v>
      </c>
      <c r="Z40" s="165">
        <v>0</v>
      </c>
      <c r="AA40" s="217">
        <f>SUM(V40:Z40)</f>
        <v>2</v>
      </c>
      <c r="AB40" s="107">
        <f t="shared" si="1"/>
        <v>0.22421524663677131</v>
      </c>
      <c r="AC40" s="102">
        <v>0</v>
      </c>
      <c r="AD40" s="102">
        <v>0</v>
      </c>
      <c r="AE40" s="102">
        <v>7</v>
      </c>
    </row>
    <row r="41" spans="1:32" ht="15.75" thickBot="1" x14ac:dyDescent="0.3">
      <c r="A41" s="12" t="s">
        <v>27</v>
      </c>
      <c r="B41" s="319">
        <v>75666</v>
      </c>
      <c r="C41" s="319">
        <v>50524</v>
      </c>
      <c r="D41" s="323">
        <v>41477</v>
      </c>
      <c r="E41" s="320">
        <v>75575</v>
      </c>
      <c r="F41" s="320">
        <v>68813</v>
      </c>
      <c r="G41" s="127">
        <f>SUM(B41:F41)</f>
        <v>312055</v>
      </c>
      <c r="H41" s="67">
        <v>22</v>
      </c>
      <c r="I41" s="68">
        <v>8</v>
      </c>
      <c r="J41" s="68">
        <v>49</v>
      </c>
      <c r="K41" s="68">
        <v>28</v>
      </c>
      <c r="L41" s="69">
        <v>16</v>
      </c>
      <c r="M41" s="372">
        <f>SUM(H41:L41)</f>
        <v>123</v>
      </c>
      <c r="N41" s="145">
        <f t="shared" si="3"/>
        <v>3.9416128567079524E-2</v>
      </c>
      <c r="O41" s="68">
        <v>17</v>
      </c>
      <c r="P41" s="68">
        <v>5</v>
      </c>
      <c r="Q41" s="68">
        <v>20</v>
      </c>
      <c r="R41" s="68">
        <v>21</v>
      </c>
      <c r="S41" s="68">
        <v>23</v>
      </c>
      <c r="T41" s="372">
        <f>SUM(O41:S41)</f>
        <v>86</v>
      </c>
      <c r="U41" s="213">
        <f t="shared" si="0"/>
        <v>2.7559244363974299E-2</v>
      </c>
      <c r="V41" s="313">
        <v>24</v>
      </c>
      <c r="W41" s="313">
        <v>3</v>
      </c>
      <c r="X41" s="314">
        <v>19</v>
      </c>
      <c r="Y41" s="314">
        <v>10</v>
      </c>
      <c r="Z41">
        <v>7</v>
      </c>
      <c r="AA41" s="393">
        <f>SUM(V41:Z41)</f>
        <v>63</v>
      </c>
      <c r="AB41" s="105">
        <f t="shared" si="1"/>
        <v>2.0188748778260244E-2</v>
      </c>
      <c r="AC41" s="114">
        <v>12</v>
      </c>
      <c r="AD41" s="114">
        <v>24</v>
      </c>
      <c r="AE41" s="114">
        <v>443</v>
      </c>
    </row>
    <row r="42" spans="1:32" ht="15.75" thickBot="1" x14ac:dyDescent="0.3">
      <c r="A42" s="13" t="s">
        <v>21</v>
      </c>
      <c r="B42" s="318">
        <f>SUM(B40:B41)</f>
        <v>75874</v>
      </c>
      <c r="C42" s="318">
        <f>SUM(C40:C41)</f>
        <v>50657</v>
      </c>
      <c r="D42" s="318">
        <f>SUM(D40:D41)</f>
        <v>41686</v>
      </c>
      <c r="E42" s="318">
        <f>SUM(E40:E41)</f>
        <v>75800</v>
      </c>
      <c r="F42" s="318">
        <f>SUM(F40:F41)</f>
        <v>68930</v>
      </c>
      <c r="G42" s="308">
        <f t="shared" ref="G42:M42" si="21">SUM(G40:G41)</f>
        <v>312947</v>
      </c>
      <c r="H42" s="120">
        <f>SUM(H40:H41)</f>
        <v>23</v>
      </c>
      <c r="I42" s="120">
        <f>SUM(I40:I41)</f>
        <v>8</v>
      </c>
      <c r="J42" s="120">
        <f>SUM(J40:J41)</f>
        <v>49</v>
      </c>
      <c r="K42" s="120">
        <f>SUM(K40:K41)</f>
        <v>31</v>
      </c>
      <c r="L42" s="120">
        <f>SUM(L40:L41)</f>
        <v>16</v>
      </c>
      <c r="M42" s="328">
        <f t="shared" si="21"/>
        <v>127</v>
      </c>
      <c r="N42" s="149">
        <f t="shared" si="3"/>
        <v>4.0581951576465027E-2</v>
      </c>
      <c r="O42" s="72">
        <f t="shared" ref="O42:T42" si="22">SUM(O40:O41)</f>
        <v>18</v>
      </c>
      <c r="P42" s="72">
        <f t="shared" si="22"/>
        <v>6</v>
      </c>
      <c r="Q42" s="72">
        <f t="shared" si="22"/>
        <v>23</v>
      </c>
      <c r="R42" s="72">
        <f t="shared" si="22"/>
        <v>23</v>
      </c>
      <c r="S42" s="72">
        <f t="shared" si="22"/>
        <v>23</v>
      </c>
      <c r="T42" s="329">
        <f t="shared" si="22"/>
        <v>93</v>
      </c>
      <c r="U42" s="214">
        <f t="shared" si="0"/>
        <v>2.9717492099301159E-2</v>
      </c>
      <c r="V42" s="316">
        <f>SUM(V40:V41)</f>
        <v>24</v>
      </c>
      <c r="W42" s="316">
        <f t="shared" ref="W42:Z42" si="23">SUM(W40:W41)</f>
        <v>3</v>
      </c>
      <c r="X42" s="316">
        <f t="shared" si="23"/>
        <v>19</v>
      </c>
      <c r="Y42" s="316">
        <f>SUM(Y40:Y41)</f>
        <v>12</v>
      </c>
      <c r="Z42" s="316">
        <f t="shared" si="23"/>
        <v>7</v>
      </c>
      <c r="AA42" s="330">
        <f>SUM(AA40:AA41)</f>
        <v>65</v>
      </c>
      <c r="AB42" s="312">
        <f t="shared" si="1"/>
        <v>2.0770290176930918E-2</v>
      </c>
      <c r="AC42" s="115">
        <f>SUM(AC40:AC41)</f>
        <v>12</v>
      </c>
      <c r="AD42" s="132">
        <f>SUM(AD40:AD41)</f>
        <v>24</v>
      </c>
      <c r="AE42" s="132">
        <f>SUM(AE40:AE41)</f>
        <v>450</v>
      </c>
    </row>
    <row r="43" spans="1:32" ht="15.75" thickBot="1" x14ac:dyDescent="0.3">
      <c r="A43" s="134" t="s">
        <v>49</v>
      </c>
      <c r="B43" s="310">
        <f>B11+B25+B37+B42</f>
        <v>187691</v>
      </c>
      <c r="C43" s="321">
        <f>C11+C25+C37+C42</f>
        <v>123379</v>
      </c>
      <c r="D43" s="311">
        <f>D11+D25+D37+D42</f>
        <v>196575</v>
      </c>
      <c r="E43" s="322">
        <f>SUM(B43:D43)</f>
        <v>507645</v>
      </c>
      <c r="F43" s="322">
        <f t="shared" ref="F43:M43" si="24">F11+F25+F37+F42</f>
        <v>163865</v>
      </c>
      <c r="G43" s="309">
        <f t="shared" si="24"/>
        <v>884044</v>
      </c>
      <c r="H43" s="139">
        <f t="shared" si="24"/>
        <v>188</v>
      </c>
      <c r="I43" s="139">
        <f t="shared" si="24"/>
        <v>96</v>
      </c>
      <c r="J43" s="139">
        <f t="shared" si="24"/>
        <v>303</v>
      </c>
      <c r="K43" s="139">
        <f>K11+K25+K37+K42</f>
        <v>225</v>
      </c>
      <c r="L43" s="139">
        <f t="shared" si="24"/>
        <v>96</v>
      </c>
      <c r="M43" s="141">
        <f t="shared" si="24"/>
        <v>908</v>
      </c>
      <c r="N43" s="146">
        <f t="shared" si="3"/>
        <v>0.10270981987321898</v>
      </c>
      <c r="O43" s="147">
        <f t="shared" ref="O43:T43" si="25">O11+O25+O37+O42</f>
        <v>256</v>
      </c>
      <c r="P43" s="148">
        <f t="shared" si="25"/>
        <v>139</v>
      </c>
      <c r="Q43" s="148">
        <f t="shared" si="25"/>
        <v>362</v>
      </c>
      <c r="R43" s="148">
        <f>R11+R25+R37+R42</f>
        <v>340</v>
      </c>
      <c r="S43" s="148">
        <f t="shared" si="25"/>
        <v>143</v>
      </c>
      <c r="T43" s="148">
        <f t="shared" si="25"/>
        <v>1240</v>
      </c>
      <c r="U43" s="94">
        <f t="shared" si="0"/>
        <v>0.14026451172113605</v>
      </c>
      <c r="V43" s="148">
        <f t="shared" ref="V43:AA43" si="26">V11+V25+V37+V42</f>
        <v>233</v>
      </c>
      <c r="W43" s="148">
        <f t="shared" si="26"/>
        <v>47</v>
      </c>
      <c r="X43" s="148">
        <f t="shared" si="26"/>
        <v>209</v>
      </c>
      <c r="Y43" s="148">
        <f t="shared" si="26"/>
        <v>94</v>
      </c>
      <c r="Z43" s="148">
        <f t="shared" si="26"/>
        <v>73</v>
      </c>
      <c r="AA43" s="148">
        <f t="shared" si="26"/>
        <v>656</v>
      </c>
      <c r="AB43" s="106">
        <f t="shared" si="1"/>
        <v>7.4204451362149398E-2</v>
      </c>
      <c r="AC43" s="140">
        <f>AC11+AC25+AC37+AC42</f>
        <v>205</v>
      </c>
      <c r="AD43" s="324">
        <f>AD11+AD25+AD37+AD42</f>
        <v>164</v>
      </c>
      <c r="AE43" s="140">
        <f>AE11+AE25+AE37+AE42</f>
        <v>4670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46"/>
  <sheetViews>
    <sheetView topLeftCell="A13" zoomScale="80" zoomScaleNormal="80" workbookViewId="0">
      <selection activeCell="G25" sqref="G25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470" customFormat="1" ht="18" x14ac:dyDescent="0.25">
      <c r="A1" s="730" t="s">
        <v>120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470" customFormat="1" ht="9" customHeight="1" thickBot="1" x14ac:dyDescent="0.3"/>
    <row r="3" spans="1:36" ht="66.7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s="368" t="s">
        <v>116</v>
      </c>
      <c r="AA3" s="472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471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7" t="s">
        <v>1</v>
      </c>
      <c r="B6" s="22">
        <v>88</v>
      </c>
      <c r="C6" s="22">
        <v>40</v>
      </c>
      <c r="D6" s="22">
        <v>107</v>
      </c>
      <c r="E6" s="22">
        <v>76</v>
      </c>
      <c r="F6" s="22">
        <v>37</v>
      </c>
      <c r="G6" s="121">
        <f>SUM(B6:F6)</f>
        <v>348</v>
      </c>
      <c r="H6" s="44">
        <v>3</v>
      </c>
      <c r="I6" s="45">
        <v>0</v>
      </c>
      <c r="J6" s="45">
        <f>Düsseldorf14!C6</f>
        <v>0</v>
      </c>
      <c r="K6" s="45">
        <f>Kölle14!C6</f>
        <v>0</v>
      </c>
      <c r="L6" s="46">
        <v>0</v>
      </c>
      <c r="M6" s="217">
        <f>SUM(H6:L6)</f>
        <v>3</v>
      </c>
      <c r="N6" s="47">
        <f>M6*100/G6</f>
        <v>0.86206896551724133</v>
      </c>
      <c r="O6" s="45">
        <v>1</v>
      </c>
      <c r="P6" s="45">
        <v>0</v>
      </c>
      <c r="Q6" s="45">
        <v>2</v>
      </c>
      <c r="R6" s="45">
        <v>3</v>
      </c>
      <c r="S6" s="45">
        <v>0</v>
      </c>
      <c r="T6" s="217">
        <f>SUM(O6:S6)</f>
        <v>6</v>
      </c>
      <c r="U6" s="133">
        <f>T6*100/G6</f>
        <v>1.7241379310344827</v>
      </c>
      <c r="V6" s="45">
        <v>0</v>
      </c>
      <c r="W6" s="45">
        <f>Detmold14!E6</f>
        <v>0</v>
      </c>
      <c r="X6" s="45">
        <v>0</v>
      </c>
      <c r="Y6" s="45">
        <v>0</v>
      </c>
      <c r="Z6" s="45">
        <v>1</v>
      </c>
      <c r="AA6" s="215">
        <f>SUM(V6:Z6)</f>
        <v>1</v>
      </c>
      <c r="AB6" s="216">
        <f>AA6*100/G6</f>
        <v>0.28735632183908044</v>
      </c>
      <c r="AC6" s="217">
        <v>3</v>
      </c>
      <c r="AD6" s="217">
        <v>0</v>
      </c>
      <c r="AE6" s="217">
        <v>35</v>
      </c>
    </row>
    <row r="7" spans="1:36" ht="15" thickBot="1" x14ac:dyDescent="0.25">
      <c r="A7" s="8" t="s">
        <v>2</v>
      </c>
      <c r="B7" s="22">
        <v>589</v>
      </c>
      <c r="C7" s="22">
        <v>177</v>
      </c>
      <c r="D7" s="22">
        <v>734</v>
      </c>
      <c r="E7" s="22">
        <v>624</v>
      </c>
      <c r="F7" s="22">
        <v>282</v>
      </c>
      <c r="G7" s="121">
        <f>SUM(B7:F7)</f>
        <v>2406</v>
      </c>
      <c r="H7" s="44">
        <v>0</v>
      </c>
      <c r="I7" s="45">
        <v>3</v>
      </c>
      <c r="J7" s="45">
        <v>2</v>
      </c>
      <c r="K7" s="45">
        <v>6</v>
      </c>
      <c r="L7" s="46">
        <v>2</v>
      </c>
      <c r="M7" s="372">
        <f>SUM(H7:L7)</f>
        <v>13</v>
      </c>
      <c r="N7" s="49">
        <f>M7*100/G7</f>
        <v>0.54031587697423111</v>
      </c>
      <c r="O7" s="45">
        <v>6</v>
      </c>
      <c r="P7" s="45">
        <v>1</v>
      </c>
      <c r="Q7" s="45">
        <v>11</v>
      </c>
      <c r="R7" s="45">
        <v>8</v>
      </c>
      <c r="S7" s="45">
        <v>1</v>
      </c>
      <c r="T7" s="372">
        <f>SUM(O7:S7)</f>
        <v>27</v>
      </c>
      <c r="U7" s="92">
        <f>T7*100/G7</f>
        <v>1.1221945137157108</v>
      </c>
      <c r="V7" s="45">
        <v>1</v>
      </c>
      <c r="W7" s="45">
        <f>Detmold14!E7</f>
        <v>0</v>
      </c>
      <c r="X7" s="45">
        <v>0</v>
      </c>
      <c r="Y7" s="45">
        <v>3</v>
      </c>
      <c r="Z7" s="45">
        <v>3</v>
      </c>
      <c r="AA7" s="215">
        <f>SUM(V7:Z7)</f>
        <v>7</v>
      </c>
      <c r="AB7" s="104">
        <f>AA7*100/G7</f>
        <v>0.29093931837073983</v>
      </c>
      <c r="AC7" s="217">
        <v>13</v>
      </c>
      <c r="AD7" s="217">
        <v>7</v>
      </c>
      <c r="AE7" s="217">
        <v>101</v>
      </c>
    </row>
    <row r="8" spans="1:36" ht="15" thickBot="1" x14ac:dyDescent="0.25">
      <c r="A8" s="8" t="s">
        <v>14</v>
      </c>
      <c r="B8" s="22">
        <v>57</v>
      </c>
      <c r="C8" s="22">
        <v>32</v>
      </c>
      <c r="D8" s="22">
        <v>88</v>
      </c>
      <c r="E8" s="22">
        <v>77</v>
      </c>
      <c r="F8" s="22">
        <v>35</v>
      </c>
      <c r="G8" s="121">
        <f>SUM(B8:F8)</f>
        <v>289</v>
      </c>
      <c r="H8" s="44">
        <v>0</v>
      </c>
      <c r="I8" s="45">
        <v>0</v>
      </c>
      <c r="J8" s="45">
        <v>0</v>
      </c>
      <c r="K8" s="45">
        <f>Kölle14!C8</f>
        <v>0</v>
      </c>
      <c r="L8" s="46">
        <f>Münster14!C8</f>
        <v>0</v>
      </c>
      <c r="M8" s="217">
        <f>SUM(H8:L8)</f>
        <v>0</v>
      </c>
      <c r="N8" s="49">
        <f>M8*100/G8</f>
        <v>0</v>
      </c>
      <c r="O8" s="45">
        <v>0</v>
      </c>
      <c r="P8" s="45">
        <v>1</v>
      </c>
      <c r="Q8" s="45">
        <v>0</v>
      </c>
      <c r="R8" s="45">
        <v>0</v>
      </c>
      <c r="S8" s="45">
        <v>0</v>
      </c>
      <c r="T8" s="217">
        <f>SUM(O8:S8)</f>
        <v>1</v>
      </c>
      <c r="U8" s="92">
        <f t="shared" ref="U8:U43" si="0">T8*100/G8</f>
        <v>0.34602076124567471</v>
      </c>
      <c r="V8" s="45">
        <v>0</v>
      </c>
      <c r="W8" s="45">
        <f>Detmold14!E8</f>
        <v>0</v>
      </c>
      <c r="X8" s="45">
        <v>1</v>
      </c>
      <c r="Y8" s="45">
        <v>0</v>
      </c>
      <c r="Z8" s="45">
        <v>0</v>
      </c>
      <c r="AA8" s="215">
        <f>SUM(V8:Z8)</f>
        <v>1</v>
      </c>
      <c r="AB8" s="104">
        <f t="shared" ref="AB8:AB43" si="1">AA8*100/G8</f>
        <v>0.34602076124567471</v>
      </c>
      <c r="AC8" s="217">
        <v>0</v>
      </c>
      <c r="AD8" s="217">
        <v>0</v>
      </c>
      <c r="AE8" s="217">
        <v>11</v>
      </c>
    </row>
    <row r="9" spans="1:36" ht="15" thickBot="1" x14ac:dyDescent="0.25">
      <c r="A9" s="9" t="s">
        <v>3</v>
      </c>
      <c r="B9" s="22">
        <v>108</v>
      </c>
      <c r="C9" s="22">
        <v>79</v>
      </c>
      <c r="D9" s="22">
        <v>133</v>
      </c>
      <c r="E9" s="22">
        <v>119</v>
      </c>
      <c r="F9" s="22">
        <v>40</v>
      </c>
      <c r="G9" s="121">
        <f>SUM(B9:F9)</f>
        <v>479</v>
      </c>
      <c r="H9" s="44">
        <v>0</v>
      </c>
      <c r="I9" s="45">
        <v>0</v>
      </c>
      <c r="J9" s="45">
        <v>0</v>
      </c>
      <c r="K9" s="45">
        <f>Kölle14!C9</f>
        <v>0</v>
      </c>
      <c r="L9" s="46">
        <f>Münster14!C9</f>
        <v>0</v>
      </c>
      <c r="M9" s="372">
        <f>SUM(H9:L9)</f>
        <v>0</v>
      </c>
      <c r="N9" s="49">
        <f>M9*100/G9</f>
        <v>0</v>
      </c>
      <c r="O9" s="45">
        <v>0</v>
      </c>
      <c r="P9" s="45">
        <v>0</v>
      </c>
      <c r="Q9" s="45">
        <v>0</v>
      </c>
      <c r="R9" s="45">
        <v>1</v>
      </c>
      <c r="S9" s="45">
        <v>2</v>
      </c>
      <c r="T9" s="372">
        <f>SUM(O9:S9)</f>
        <v>3</v>
      </c>
      <c r="U9" s="92">
        <f t="shared" si="0"/>
        <v>0.62630480167014613</v>
      </c>
      <c r="V9" s="45">
        <v>0</v>
      </c>
      <c r="W9" s="45">
        <f>Detmold14!E9</f>
        <v>0</v>
      </c>
      <c r="X9" s="45">
        <v>1</v>
      </c>
      <c r="Y9" s="45">
        <v>0</v>
      </c>
      <c r="Z9" s="45">
        <v>0</v>
      </c>
      <c r="AA9" s="215">
        <f>SUM(V9:Z9)</f>
        <v>1</v>
      </c>
      <c r="AB9" s="104">
        <f t="shared" si="1"/>
        <v>0.20876826722338204</v>
      </c>
      <c r="AC9" s="217">
        <f>Arnsberg14!F9+Detmold14!F9+Düsseldorf14!F9+Kölle14!F9+Münster14!F9</f>
        <v>0</v>
      </c>
      <c r="AD9" s="217">
        <v>0</v>
      </c>
      <c r="AE9" s="217">
        <v>12</v>
      </c>
    </row>
    <row r="10" spans="1:36" ht="24.75" thickBot="1" x14ac:dyDescent="0.25">
      <c r="A10" s="18" t="s">
        <v>23</v>
      </c>
      <c r="B10" s="22">
        <v>607</v>
      </c>
      <c r="C10" s="22">
        <v>210</v>
      </c>
      <c r="D10" s="22">
        <v>777</v>
      </c>
      <c r="E10" s="22">
        <v>790</v>
      </c>
      <c r="F10" s="22">
        <v>319</v>
      </c>
      <c r="G10" s="121">
        <f>SUM(B10:F10)</f>
        <v>2703</v>
      </c>
      <c r="H10" s="44">
        <v>1</v>
      </c>
      <c r="I10" s="45">
        <v>0</v>
      </c>
      <c r="J10" s="45">
        <v>2</v>
      </c>
      <c r="K10" s="45">
        <v>1</v>
      </c>
      <c r="L10" s="46">
        <v>0</v>
      </c>
      <c r="M10" s="372">
        <f>SUM(H10:L10)</f>
        <v>4</v>
      </c>
      <c r="N10" s="70">
        <f>M10*100/G10</f>
        <v>0.14798372179060304</v>
      </c>
      <c r="O10" s="45">
        <v>3</v>
      </c>
      <c r="P10" s="45">
        <v>1</v>
      </c>
      <c r="Q10" s="45">
        <v>3</v>
      </c>
      <c r="R10" s="45">
        <v>7</v>
      </c>
      <c r="S10" s="45">
        <v>0</v>
      </c>
      <c r="T10" s="84">
        <f>SUM(O10:S10)</f>
        <v>14</v>
      </c>
      <c r="U10" s="143">
        <f t="shared" si="0"/>
        <v>0.51794302626711064</v>
      </c>
      <c r="V10" s="45">
        <v>2</v>
      </c>
      <c r="W10" s="45">
        <f>Detmold14!E10</f>
        <v>0</v>
      </c>
      <c r="X10" s="45">
        <v>2</v>
      </c>
      <c r="Y10" s="45">
        <v>0</v>
      </c>
      <c r="Z10" s="45">
        <v>0</v>
      </c>
      <c r="AA10" s="215">
        <f>SUM(V10:Z10)</f>
        <v>4</v>
      </c>
      <c r="AB10" s="105">
        <f t="shared" si="1"/>
        <v>0.14798372179060304</v>
      </c>
      <c r="AC10" s="217">
        <v>8</v>
      </c>
      <c r="AD10" s="217">
        <v>0</v>
      </c>
      <c r="AE10" s="217">
        <v>63</v>
      </c>
    </row>
    <row r="11" spans="1:36" ht="15.75" thickBot="1" x14ac:dyDescent="0.3">
      <c r="A11" s="10" t="s">
        <v>21</v>
      </c>
      <c r="B11" s="24">
        <f>SUM(B6:B10)</f>
        <v>1449</v>
      </c>
      <c r="C11" s="24">
        <f>SUM(C6:C10)</f>
        <v>538</v>
      </c>
      <c r="D11" s="24">
        <f>SUM(D6:D10)</f>
        <v>1839</v>
      </c>
      <c r="E11" s="24">
        <f>SUM(E6:E10)</f>
        <v>1686</v>
      </c>
      <c r="F11" s="24">
        <f>SUM(F6:F10)</f>
        <v>713</v>
      </c>
      <c r="G11" s="122">
        <f t="shared" ref="G11:M11" si="2">SUM(G6:G10)</f>
        <v>6225</v>
      </c>
      <c r="H11" s="122">
        <f>SUM(H6:H10)</f>
        <v>4</v>
      </c>
      <c r="I11" s="122">
        <f>SUM(I6:I10)</f>
        <v>3</v>
      </c>
      <c r="J11" s="122">
        <f t="shared" si="2"/>
        <v>4</v>
      </c>
      <c r="K11" s="122">
        <f t="shared" si="2"/>
        <v>7</v>
      </c>
      <c r="L11" s="122">
        <f t="shared" si="2"/>
        <v>2</v>
      </c>
      <c r="M11" s="325">
        <f t="shared" si="2"/>
        <v>20</v>
      </c>
      <c r="N11" s="118">
        <f t="shared" ref="N11:N43" si="3">M11*100/G11</f>
        <v>0.32128514056224899</v>
      </c>
      <c r="O11" s="119">
        <f>SUM(O6:O10)</f>
        <v>10</v>
      </c>
      <c r="P11" s="119">
        <f t="shared" ref="P11:T11" si="4">SUM(P6:P10)</f>
        <v>3</v>
      </c>
      <c r="Q11" s="119">
        <f t="shared" si="4"/>
        <v>16</v>
      </c>
      <c r="R11" s="119">
        <f>SUM(R6:R10)</f>
        <v>19</v>
      </c>
      <c r="S11" s="119">
        <f t="shared" si="4"/>
        <v>3</v>
      </c>
      <c r="T11" s="326">
        <f t="shared" si="4"/>
        <v>51</v>
      </c>
      <c r="U11" s="94">
        <f t="shared" si="0"/>
        <v>0.81927710843373491</v>
      </c>
      <c r="V11" s="119">
        <f t="shared" ref="V11:AA11" si="5">SUM(V6:V10)</f>
        <v>3</v>
      </c>
      <c r="W11" s="119">
        <f t="shared" si="5"/>
        <v>0</v>
      </c>
      <c r="X11" s="119">
        <f t="shared" si="5"/>
        <v>4</v>
      </c>
      <c r="Y11" s="119">
        <f>SUM(Y6:Y10)</f>
        <v>3</v>
      </c>
      <c r="Z11" s="119">
        <f t="shared" si="5"/>
        <v>4</v>
      </c>
      <c r="AA11" s="327">
        <f t="shared" si="5"/>
        <v>14</v>
      </c>
      <c r="AB11" s="106">
        <f t="shared" si="1"/>
        <v>0.22489959839357429</v>
      </c>
      <c r="AC11" s="132">
        <f>SUM(AC6:AC10)</f>
        <v>24</v>
      </c>
      <c r="AD11" s="115">
        <f>SUM(AD6:AD10)</f>
        <v>7</v>
      </c>
      <c r="AE11" s="115">
        <f>SUM(AE6:AE10)</f>
        <v>222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56"/>
      <c r="O13" s="54"/>
      <c r="P13" s="54"/>
      <c r="Q13" s="54"/>
      <c r="R13" s="54"/>
      <c r="S13" s="54"/>
      <c r="T13" s="86"/>
      <c r="U13" s="131"/>
      <c r="AA13" s="99"/>
      <c r="AC13" s="99"/>
      <c r="AD13" s="99"/>
      <c r="AE13" s="99"/>
    </row>
    <row r="14" spans="1:36" ht="15" thickBot="1" x14ac:dyDescent="0.25">
      <c r="A14" s="7" t="s">
        <v>4</v>
      </c>
      <c r="B14" s="22">
        <v>17</v>
      </c>
      <c r="C14" s="22">
        <v>4</v>
      </c>
      <c r="D14" s="22">
        <v>28</v>
      </c>
      <c r="E14" s="22">
        <v>34</v>
      </c>
      <c r="F14" s="22">
        <v>6</v>
      </c>
      <c r="G14" s="121">
        <f>SUM(B14:F14)</f>
        <v>89</v>
      </c>
      <c r="H14" s="57">
        <v>0</v>
      </c>
      <c r="I14" s="57">
        <f>Detmold14!C14</f>
        <v>0</v>
      </c>
      <c r="J14" s="58">
        <f>Düsseldorf14!C14</f>
        <v>0</v>
      </c>
      <c r="K14" s="45">
        <f>Kölle14!C14</f>
        <v>0</v>
      </c>
      <c r="L14" s="46">
        <f>Münster14!C14</f>
        <v>0</v>
      </c>
      <c r="M14" s="217">
        <f>SUM(H14:L14)</f>
        <v>0</v>
      </c>
      <c r="N14" s="51">
        <f t="shared" si="3"/>
        <v>0</v>
      </c>
      <c r="O14" s="58">
        <v>0</v>
      </c>
      <c r="P14" s="58">
        <f>Detmold14!D14</f>
        <v>0</v>
      </c>
      <c r="Q14" s="45">
        <v>0</v>
      </c>
      <c r="R14" s="45">
        <v>0</v>
      </c>
      <c r="S14" s="58">
        <v>0</v>
      </c>
      <c r="T14" s="372">
        <f>SUM(O14:S14)</f>
        <v>0</v>
      </c>
      <c r="U14" s="211">
        <f t="shared" si="0"/>
        <v>0</v>
      </c>
      <c r="V14" s="45">
        <f>Arnsberg14!E14</f>
        <v>0</v>
      </c>
      <c r="W14" s="45">
        <f>Detmold14!E14</f>
        <v>0</v>
      </c>
      <c r="X14" s="45">
        <v>0</v>
      </c>
      <c r="Y14" s="45">
        <f>Kölle14!E14</f>
        <v>0</v>
      </c>
      <c r="Z14" s="45">
        <v>0</v>
      </c>
      <c r="AA14" s="217">
        <f>SUM(V14:Z14)</f>
        <v>0</v>
      </c>
      <c r="AB14" s="104">
        <f t="shared" si="1"/>
        <v>0</v>
      </c>
      <c r="AC14" s="217">
        <f>Arnsberg14!F14+Detmold14!F14+Düsseldorf14!F14+Kölle14!F14+Münster14!F14</f>
        <v>0</v>
      </c>
      <c r="AD14" s="217">
        <f>Arnsberg14!G14+Detmold14!G14+Düsseldorf14!G14+Kölle14!G14+Münster14!G14</f>
        <v>0</v>
      </c>
      <c r="AE14" s="217">
        <v>1</v>
      </c>
    </row>
    <row r="15" spans="1:36" ht="15" thickBot="1" x14ac:dyDescent="0.25">
      <c r="A15" s="11" t="s">
        <v>5</v>
      </c>
      <c r="B15" s="27">
        <v>204</v>
      </c>
      <c r="C15" s="27">
        <v>64</v>
      </c>
      <c r="D15" s="27">
        <v>315</v>
      </c>
      <c r="E15" s="27">
        <v>328</v>
      </c>
      <c r="F15" s="27">
        <v>115</v>
      </c>
      <c r="G15" s="121">
        <f t="shared" ref="G15:G24" si="6">SUM(B15:F15)</f>
        <v>1026</v>
      </c>
      <c r="H15" s="59">
        <v>0</v>
      </c>
      <c r="I15" s="60">
        <f>Detmold14!C15</f>
        <v>0</v>
      </c>
      <c r="J15" s="61">
        <v>0</v>
      </c>
      <c r="K15" s="62">
        <v>1</v>
      </c>
      <c r="L15" s="48">
        <v>0</v>
      </c>
      <c r="M15" s="372">
        <f>SUM(H15:L15)</f>
        <v>1</v>
      </c>
      <c r="N15" s="51">
        <f t="shared" si="3"/>
        <v>9.7465886939571145E-2</v>
      </c>
      <c r="O15" s="62">
        <v>2</v>
      </c>
      <c r="P15" s="61">
        <v>0</v>
      </c>
      <c r="Q15" s="62">
        <v>1</v>
      </c>
      <c r="R15" s="62">
        <v>5</v>
      </c>
      <c r="S15" s="63">
        <v>3</v>
      </c>
      <c r="T15" s="372">
        <f>SUM(O15:S15)</f>
        <v>11</v>
      </c>
      <c r="U15" s="212">
        <f t="shared" si="0"/>
        <v>1.0721247563352827</v>
      </c>
      <c r="V15" s="62">
        <f>Arnsberg14!E15</f>
        <v>0</v>
      </c>
      <c r="W15" s="62">
        <f>Detmold14!E15</f>
        <v>0</v>
      </c>
      <c r="X15" s="62">
        <v>5</v>
      </c>
      <c r="Y15" s="62">
        <v>0</v>
      </c>
      <c r="Z15" s="62">
        <f>Münster14!E15</f>
        <v>0</v>
      </c>
      <c r="AA15" s="372">
        <f>SUM(V15:Z15)</f>
        <v>5</v>
      </c>
      <c r="AB15" s="104">
        <f t="shared" si="1"/>
        <v>0.48732943469785572</v>
      </c>
      <c r="AC15" s="217">
        <v>0</v>
      </c>
      <c r="AD15" s="217">
        <v>0</v>
      </c>
      <c r="AE15" s="217">
        <v>40</v>
      </c>
    </row>
    <row r="16" spans="1:36" ht="15" thickBot="1" x14ac:dyDescent="0.25">
      <c r="A16" s="11" t="s">
        <v>6</v>
      </c>
      <c r="B16" s="28">
        <v>40</v>
      </c>
      <c r="C16" s="27">
        <v>22</v>
      </c>
      <c r="D16" s="27">
        <v>67</v>
      </c>
      <c r="E16" s="27">
        <v>54</v>
      </c>
      <c r="F16" s="27">
        <v>27</v>
      </c>
      <c r="G16" s="121">
        <f t="shared" si="6"/>
        <v>210</v>
      </c>
      <c r="H16" s="59">
        <v>0</v>
      </c>
      <c r="I16" s="60">
        <f>Detmold14!C16</f>
        <v>0</v>
      </c>
      <c r="J16" s="61">
        <f>Düsseldorf14!C16</f>
        <v>0</v>
      </c>
      <c r="K16" s="62">
        <v>1</v>
      </c>
      <c r="L16" s="48">
        <f>Münster14!C16</f>
        <v>0</v>
      </c>
      <c r="M16" s="217">
        <f t="shared" ref="M16:M20" si="7">SUM(H16:L16)</f>
        <v>1</v>
      </c>
      <c r="N16" s="51">
        <f t="shared" si="3"/>
        <v>0.47619047619047616</v>
      </c>
      <c r="O16" s="64">
        <v>1</v>
      </c>
      <c r="P16" s="64">
        <f>Detmold14!D16</f>
        <v>0</v>
      </c>
      <c r="Q16" s="62">
        <v>0</v>
      </c>
      <c r="R16" s="62">
        <v>0</v>
      </c>
      <c r="S16" s="63">
        <f>Münster14!D16</f>
        <v>0</v>
      </c>
      <c r="T16" s="372">
        <f>SUM(O16:S16)</f>
        <v>1</v>
      </c>
      <c r="U16" s="212">
        <f t="shared" si="0"/>
        <v>0.47619047619047616</v>
      </c>
      <c r="V16" s="62">
        <f>Arnsberg14!E16</f>
        <v>0</v>
      </c>
      <c r="W16" s="62">
        <f>Detmold14!E16</f>
        <v>0</v>
      </c>
      <c r="X16" s="62">
        <v>0</v>
      </c>
      <c r="Y16" s="62">
        <v>0</v>
      </c>
      <c r="Z16" s="62">
        <v>1</v>
      </c>
      <c r="AA16" s="372">
        <f>SUM(V16:Z16)</f>
        <v>1</v>
      </c>
      <c r="AB16" s="104">
        <f t="shared" si="1"/>
        <v>0.47619047619047616</v>
      </c>
      <c r="AC16" s="217">
        <f>Arnsberg14!F16+Detmold14!F16+Düsseldorf14!F16+Kölle14!F16+Münster14!F16</f>
        <v>0</v>
      </c>
      <c r="AD16" s="217">
        <f>Arnsberg14!G16+Detmold14!G16+Düsseldorf14!G16+Kölle14!G16+Münster14!G16</f>
        <v>0</v>
      </c>
      <c r="AE16" s="217">
        <v>2</v>
      </c>
    </row>
    <row r="17" spans="1:34" ht="15" thickBot="1" x14ac:dyDescent="0.25">
      <c r="A17" s="11" t="s">
        <v>7</v>
      </c>
      <c r="B17" s="27">
        <v>28</v>
      </c>
      <c r="C17" s="27">
        <v>6</v>
      </c>
      <c r="D17" s="27">
        <v>50</v>
      </c>
      <c r="E17" s="27">
        <v>21</v>
      </c>
      <c r="F17" s="27">
        <v>23</v>
      </c>
      <c r="G17" s="121">
        <f t="shared" si="6"/>
        <v>128</v>
      </c>
      <c r="H17" s="59">
        <v>0</v>
      </c>
      <c r="I17" s="60">
        <f>Detmold14!C17</f>
        <v>0</v>
      </c>
      <c r="J17" s="61">
        <v>0</v>
      </c>
      <c r="K17" s="62">
        <v>0</v>
      </c>
      <c r="L17" s="48">
        <f>Münster14!C17</f>
        <v>0</v>
      </c>
      <c r="M17" s="372">
        <f>SUM(H17:L17)</f>
        <v>0</v>
      </c>
      <c r="N17" s="51">
        <f t="shared" si="3"/>
        <v>0</v>
      </c>
      <c r="O17" s="62">
        <v>0</v>
      </c>
      <c r="P17" s="62">
        <f>Detmold14!D17</f>
        <v>0</v>
      </c>
      <c r="Q17" s="62">
        <v>0</v>
      </c>
      <c r="R17" s="62">
        <v>0</v>
      </c>
      <c r="S17" s="63">
        <f>Münster14!D17</f>
        <v>0</v>
      </c>
      <c r="T17" s="372">
        <f>SUM(O17:S17)</f>
        <v>0</v>
      </c>
      <c r="U17" s="212">
        <f t="shared" si="0"/>
        <v>0</v>
      </c>
      <c r="V17" s="62">
        <f>Arnsberg14!E17</f>
        <v>0</v>
      </c>
      <c r="W17" s="62">
        <f>Detmold14!E17</f>
        <v>0</v>
      </c>
      <c r="X17" s="62">
        <v>1</v>
      </c>
      <c r="Y17" s="62">
        <f>Kölle14!E17</f>
        <v>0</v>
      </c>
      <c r="Z17" s="62">
        <f>Münster14!E17</f>
        <v>0</v>
      </c>
      <c r="AA17" s="217">
        <f t="shared" ref="AA17:AA20" si="8">SUM(V17:Z17)</f>
        <v>1</v>
      </c>
      <c r="AB17" s="104">
        <f t="shared" si="1"/>
        <v>0.78125</v>
      </c>
      <c r="AC17" s="217">
        <f>Arnsberg14!F17+Detmold14!F17+Düsseldorf14!F17+Kölle14!F17+Münster14!F17</f>
        <v>0</v>
      </c>
      <c r="AD17" s="217">
        <f>Arnsberg14!G17+Detmold14!G17+Düsseldorf14!G17+Kölle14!G17+Münster14!G17</f>
        <v>0</v>
      </c>
      <c r="AE17" s="217">
        <v>4</v>
      </c>
    </row>
    <row r="18" spans="1:34" ht="15" thickBot="1" x14ac:dyDescent="0.25">
      <c r="A18" s="11" t="s">
        <v>8</v>
      </c>
      <c r="B18" s="27">
        <v>7</v>
      </c>
      <c r="C18" s="27">
        <v>2</v>
      </c>
      <c r="D18" s="27">
        <v>7</v>
      </c>
      <c r="E18" s="27">
        <v>5</v>
      </c>
      <c r="F18" s="27">
        <v>3</v>
      </c>
      <c r="G18" s="121">
        <f t="shared" si="6"/>
        <v>24</v>
      </c>
      <c r="H18" s="59">
        <v>0</v>
      </c>
      <c r="I18" s="60">
        <f>Detmold14!C18</f>
        <v>0</v>
      </c>
      <c r="J18" s="61">
        <f>Düsseldorf14!C18</f>
        <v>0</v>
      </c>
      <c r="K18" s="62">
        <v>2</v>
      </c>
      <c r="L18" s="48">
        <f>Münster14!C18</f>
        <v>0</v>
      </c>
      <c r="M18" s="372">
        <f>SUM(H18:L18)</f>
        <v>2</v>
      </c>
      <c r="N18" s="51">
        <f t="shared" si="3"/>
        <v>8.3333333333333339</v>
      </c>
      <c r="O18" s="62">
        <v>0</v>
      </c>
      <c r="P18" s="62">
        <f>Detmold14!D18</f>
        <v>0</v>
      </c>
      <c r="Q18" s="62">
        <v>0</v>
      </c>
      <c r="R18" s="62">
        <v>0</v>
      </c>
      <c r="S18" s="61">
        <f>Münster14!D18</f>
        <v>0</v>
      </c>
      <c r="T18" s="217">
        <f t="shared" ref="T18:T20" si="9">SUM(O18:S18)</f>
        <v>0</v>
      </c>
      <c r="U18" s="212">
        <f t="shared" si="0"/>
        <v>0</v>
      </c>
      <c r="V18" s="62">
        <v>0</v>
      </c>
      <c r="W18" s="62">
        <f>Detmold14!E18</f>
        <v>0</v>
      </c>
      <c r="X18" s="62">
        <v>1</v>
      </c>
      <c r="Y18" s="62">
        <f>Kölle14!E18</f>
        <v>0</v>
      </c>
      <c r="Z18" s="62">
        <f>Münster14!E18</f>
        <v>0</v>
      </c>
      <c r="AA18" s="372">
        <f>SUM(V18:Z18)</f>
        <v>1</v>
      </c>
      <c r="AB18" s="104">
        <f t="shared" si="1"/>
        <v>4.166666666666667</v>
      </c>
      <c r="AC18" s="217">
        <f>Arnsberg14!F18+Detmold14!F18+Düsseldorf14!F18+Kölle14!F18+Münster14!F18</f>
        <v>0</v>
      </c>
      <c r="AD18" s="217">
        <f>Arnsberg14!G18+Detmold14!G18+Düsseldorf14!G18+Kölle14!G18+Münster14!G18</f>
        <v>0</v>
      </c>
      <c r="AE18" s="217">
        <v>0</v>
      </c>
    </row>
    <row r="19" spans="1:34" ht="15" thickBot="1" x14ac:dyDescent="0.25">
      <c r="A19" s="11" t="s">
        <v>9</v>
      </c>
      <c r="B19" s="27">
        <v>12</v>
      </c>
      <c r="C19" s="27">
        <v>6</v>
      </c>
      <c r="D19" s="27">
        <v>22</v>
      </c>
      <c r="E19" s="27">
        <v>12</v>
      </c>
      <c r="F19" s="27">
        <v>4</v>
      </c>
      <c r="G19" s="121">
        <f t="shared" si="6"/>
        <v>56</v>
      </c>
      <c r="H19" s="59">
        <v>0</v>
      </c>
      <c r="I19" s="60">
        <f>Detmold14!C19</f>
        <v>0</v>
      </c>
      <c r="J19" s="61">
        <v>0</v>
      </c>
      <c r="K19" s="62">
        <v>0</v>
      </c>
      <c r="L19" s="48">
        <f>Münster14!C19</f>
        <v>0</v>
      </c>
      <c r="M19" s="217">
        <f t="shared" si="7"/>
        <v>0</v>
      </c>
      <c r="N19" s="51">
        <f t="shared" si="3"/>
        <v>0</v>
      </c>
      <c r="O19" s="62">
        <v>0</v>
      </c>
      <c r="P19" s="62">
        <f>Detmold14!D19</f>
        <v>0</v>
      </c>
      <c r="Q19" s="62">
        <v>0</v>
      </c>
      <c r="R19" s="62">
        <v>0</v>
      </c>
      <c r="S19" s="65">
        <f>Münster14!D19</f>
        <v>0</v>
      </c>
      <c r="T19" s="217">
        <f t="shared" si="9"/>
        <v>0</v>
      </c>
      <c r="U19" s="212">
        <f t="shared" si="0"/>
        <v>0</v>
      </c>
      <c r="V19" s="62">
        <f>Arnsberg14!E19</f>
        <v>0</v>
      </c>
      <c r="W19" s="62">
        <f>Detmold14!E19</f>
        <v>0</v>
      </c>
      <c r="X19" s="62">
        <f>Düsseldorf14!E19</f>
        <v>0</v>
      </c>
      <c r="Y19" s="62">
        <f>Kölle14!E19</f>
        <v>0</v>
      </c>
      <c r="Z19" s="62">
        <f>Münster14!E19</f>
        <v>0</v>
      </c>
      <c r="AA19" s="217">
        <f t="shared" si="8"/>
        <v>0</v>
      </c>
      <c r="AB19" s="104">
        <f t="shared" si="1"/>
        <v>0</v>
      </c>
      <c r="AC19" s="217">
        <f>Arnsberg14!F19+Detmold14!F19+Düsseldorf14!F19+Kölle14!F19+Münster14!F19</f>
        <v>0</v>
      </c>
      <c r="AD19" s="217">
        <f>Arnsberg14!G19+Detmold14!G19+Düsseldorf14!G19+Kölle14!G19+Münster14!G19</f>
        <v>0</v>
      </c>
      <c r="AE19" s="217">
        <v>0</v>
      </c>
    </row>
    <row r="20" spans="1:34" ht="15" thickBot="1" x14ac:dyDescent="0.25">
      <c r="A20" s="11" t="s">
        <v>10</v>
      </c>
      <c r="B20" s="27">
        <v>7</v>
      </c>
      <c r="C20" s="27">
        <v>3</v>
      </c>
      <c r="D20" s="27">
        <v>6</v>
      </c>
      <c r="E20" s="27">
        <v>19</v>
      </c>
      <c r="F20" s="27">
        <v>4</v>
      </c>
      <c r="G20" s="121">
        <f t="shared" si="6"/>
        <v>39</v>
      </c>
      <c r="H20" s="59">
        <v>0</v>
      </c>
      <c r="I20" s="60">
        <f>Detmold14!C20</f>
        <v>0</v>
      </c>
      <c r="J20" s="61">
        <f>Düsseldorf14!C20</f>
        <v>0</v>
      </c>
      <c r="K20" s="62">
        <v>0</v>
      </c>
      <c r="L20" s="48">
        <f>Münster14!C20</f>
        <v>0</v>
      </c>
      <c r="M20" s="217">
        <f t="shared" si="7"/>
        <v>0</v>
      </c>
      <c r="N20" s="51">
        <f t="shared" si="3"/>
        <v>0</v>
      </c>
      <c r="O20" s="62">
        <v>0</v>
      </c>
      <c r="P20" s="62">
        <f>Detmold14!D20</f>
        <v>0</v>
      </c>
      <c r="Q20" s="62">
        <v>0</v>
      </c>
      <c r="R20" s="62">
        <v>0</v>
      </c>
      <c r="S20" s="65">
        <f>Münster14!D20</f>
        <v>0</v>
      </c>
      <c r="T20" s="217">
        <f t="shared" si="9"/>
        <v>0</v>
      </c>
      <c r="U20" s="212">
        <f t="shared" si="0"/>
        <v>0</v>
      </c>
      <c r="V20" s="62">
        <f>Arnsberg14!E20</f>
        <v>0</v>
      </c>
      <c r="W20" s="62">
        <f>Detmold14!E20</f>
        <v>0</v>
      </c>
      <c r="X20" s="62">
        <f>Düsseldorf14!E20</f>
        <v>0</v>
      </c>
      <c r="Y20" s="62">
        <f>Kölle14!E20</f>
        <v>0</v>
      </c>
      <c r="Z20" s="62">
        <f>Münster14!E20</f>
        <v>0</v>
      </c>
      <c r="AA20" s="217">
        <f t="shared" si="8"/>
        <v>0</v>
      </c>
      <c r="AB20" s="104">
        <f t="shared" si="1"/>
        <v>0</v>
      </c>
      <c r="AC20" s="217">
        <f>Arnsberg14!F20+Detmold14!F20+Düsseldorf14!F20+Kölle14!F20+Münster14!F20</f>
        <v>0</v>
      </c>
      <c r="AD20" s="217">
        <f>Arnsberg14!G20+Detmold14!G20+Düsseldorf14!G20+Kölle14!G20+Münster14!G20</f>
        <v>0</v>
      </c>
      <c r="AE20" s="217">
        <v>1</v>
      </c>
    </row>
    <row r="21" spans="1:34" ht="15" thickBot="1" x14ac:dyDescent="0.25">
      <c r="A21" s="11" t="s">
        <v>11</v>
      </c>
      <c r="B21" s="27">
        <v>103</v>
      </c>
      <c r="C21" s="27">
        <v>21</v>
      </c>
      <c r="D21" s="27">
        <v>117</v>
      </c>
      <c r="E21" s="27">
        <v>125</v>
      </c>
      <c r="F21" s="27">
        <v>49</v>
      </c>
      <c r="G21" s="121">
        <f t="shared" si="6"/>
        <v>415</v>
      </c>
      <c r="H21" s="66">
        <v>0</v>
      </c>
      <c r="I21" s="66">
        <f>Detmold14!C21</f>
        <v>0</v>
      </c>
      <c r="J21" s="64">
        <v>0</v>
      </c>
      <c r="K21" s="62">
        <v>0</v>
      </c>
      <c r="L21" s="50">
        <v>0</v>
      </c>
      <c r="M21" s="372">
        <f>SUM(H21:L21)</f>
        <v>0</v>
      </c>
      <c r="N21" s="51">
        <f t="shared" si="3"/>
        <v>0</v>
      </c>
      <c r="O21" s="62">
        <v>1</v>
      </c>
      <c r="P21" s="62">
        <v>0</v>
      </c>
      <c r="Q21" s="62">
        <v>3</v>
      </c>
      <c r="R21" s="62">
        <v>5</v>
      </c>
      <c r="S21" s="64">
        <v>1</v>
      </c>
      <c r="T21" s="372">
        <f>SUM(O21:S21)</f>
        <v>10</v>
      </c>
      <c r="U21" s="212">
        <f t="shared" si="0"/>
        <v>2.4096385542168677</v>
      </c>
      <c r="V21" s="62">
        <f>Arnsberg14!E21</f>
        <v>0</v>
      </c>
      <c r="W21" s="62">
        <f>Detmold14!E21</f>
        <v>0</v>
      </c>
      <c r="X21" s="62">
        <v>0</v>
      </c>
      <c r="Y21" s="62">
        <v>1</v>
      </c>
      <c r="Z21" s="62">
        <v>0</v>
      </c>
      <c r="AA21" s="372">
        <f>SUM(V21:Z21)</f>
        <v>1</v>
      </c>
      <c r="AB21" s="104">
        <f t="shared" si="1"/>
        <v>0.24096385542168675</v>
      </c>
      <c r="AC21" s="217">
        <f>Arnsberg14!F21+Detmold14!F21+Düsseldorf14!F21+Kölle14!F21+Münster14!F21</f>
        <v>0</v>
      </c>
      <c r="AD21" s="217">
        <v>0</v>
      </c>
      <c r="AE21" s="217">
        <v>16</v>
      </c>
    </row>
    <row r="22" spans="1:34" ht="15" thickBot="1" x14ac:dyDescent="0.25">
      <c r="A22" s="11" t="s">
        <v>12</v>
      </c>
      <c r="B22" s="27">
        <v>925</v>
      </c>
      <c r="C22" s="27">
        <v>425</v>
      </c>
      <c r="D22" s="27">
        <v>1575</v>
      </c>
      <c r="E22" s="27">
        <v>1211</v>
      </c>
      <c r="F22" s="27">
        <v>629</v>
      </c>
      <c r="G22" s="121">
        <f t="shared" si="6"/>
        <v>4765</v>
      </c>
      <c r="H22" s="60">
        <v>1</v>
      </c>
      <c r="I22" s="62">
        <v>1</v>
      </c>
      <c r="J22" s="62">
        <v>5</v>
      </c>
      <c r="K22" s="62">
        <v>7</v>
      </c>
      <c r="L22" s="48">
        <v>3</v>
      </c>
      <c r="M22" s="372">
        <f>SUM(H22:L22)</f>
        <v>17</v>
      </c>
      <c r="N22" s="51">
        <f t="shared" si="3"/>
        <v>0.35676810073452259</v>
      </c>
      <c r="O22" s="62">
        <v>6</v>
      </c>
      <c r="P22" s="62">
        <v>1</v>
      </c>
      <c r="Q22" s="62">
        <v>7</v>
      </c>
      <c r="R22" s="62">
        <v>13</v>
      </c>
      <c r="S22" s="62">
        <v>2</v>
      </c>
      <c r="T22" s="372">
        <f>SUM(O22:S22)</f>
        <v>29</v>
      </c>
      <c r="U22" s="212">
        <f t="shared" si="0"/>
        <v>0.60860440713536201</v>
      </c>
      <c r="V22" s="62">
        <v>9</v>
      </c>
      <c r="W22" s="62">
        <v>1</v>
      </c>
      <c r="X22" s="62">
        <v>6</v>
      </c>
      <c r="Y22" s="62">
        <v>0</v>
      </c>
      <c r="Z22" s="62">
        <v>2</v>
      </c>
      <c r="AA22" s="372">
        <f>SUM(V22:Z22)</f>
        <v>18</v>
      </c>
      <c r="AB22" s="104">
        <f t="shared" si="1"/>
        <v>0.3777544596012592</v>
      </c>
      <c r="AC22" s="217">
        <v>3</v>
      </c>
      <c r="AD22" s="217">
        <v>0</v>
      </c>
      <c r="AE22" s="217">
        <v>120</v>
      </c>
    </row>
    <row r="23" spans="1:34" ht="15" thickBot="1" x14ac:dyDescent="0.25">
      <c r="A23" s="12" t="s">
        <v>13</v>
      </c>
      <c r="B23" s="29">
        <v>4</v>
      </c>
      <c r="C23" s="29">
        <v>7</v>
      </c>
      <c r="D23" s="27">
        <v>7</v>
      </c>
      <c r="E23" s="29">
        <v>8</v>
      </c>
      <c r="F23" s="27">
        <v>3</v>
      </c>
      <c r="G23" s="121">
        <f t="shared" si="6"/>
        <v>29</v>
      </c>
      <c r="H23" s="67">
        <v>0</v>
      </c>
      <c r="I23" s="68">
        <f>Detmold14!C23</f>
        <v>0</v>
      </c>
      <c r="J23" s="68">
        <f>Düsseldorf14!C23</f>
        <v>0</v>
      </c>
      <c r="K23" s="68">
        <f>Kölle14!C23</f>
        <v>0</v>
      </c>
      <c r="L23" s="69">
        <f>Münster14!C23</f>
        <v>0</v>
      </c>
      <c r="M23" s="372">
        <f>SUM(H23:L23)</f>
        <v>0</v>
      </c>
      <c r="N23" s="51">
        <f t="shared" si="3"/>
        <v>0</v>
      </c>
      <c r="O23" s="68">
        <v>0</v>
      </c>
      <c r="P23" s="68">
        <f>Detmold14!D23</f>
        <v>0</v>
      </c>
      <c r="Q23" s="68">
        <v>1</v>
      </c>
      <c r="R23" s="68">
        <v>0</v>
      </c>
      <c r="S23" s="68">
        <f>Münster14!D23</f>
        <v>0</v>
      </c>
      <c r="T23" s="372">
        <f>SUM(O23:S23)</f>
        <v>1</v>
      </c>
      <c r="U23" s="212">
        <f t="shared" si="0"/>
        <v>3.4482758620689653</v>
      </c>
      <c r="V23" s="68">
        <f>Arnsberg14!E23</f>
        <v>0</v>
      </c>
      <c r="W23" s="68">
        <f>Detmold14!E23</f>
        <v>0</v>
      </c>
      <c r="X23" s="68">
        <v>0</v>
      </c>
      <c r="Y23" s="68">
        <f>Kölle14!E23</f>
        <v>0</v>
      </c>
      <c r="Z23" s="68">
        <f>Münster14!E23</f>
        <v>0</v>
      </c>
      <c r="AA23" s="372">
        <f>SUM(V23:Z23)</f>
        <v>0</v>
      </c>
      <c r="AB23" s="104">
        <f t="shared" si="1"/>
        <v>0</v>
      </c>
      <c r="AC23" s="217">
        <v>0</v>
      </c>
      <c r="AD23" s="217">
        <f>Arnsberg14!G23+Detmold14!G23+Düsseldorf14!G23+Kölle14!G23+Münster14!G23</f>
        <v>0</v>
      </c>
      <c r="AE23" s="217">
        <v>0</v>
      </c>
    </row>
    <row r="24" spans="1:34" ht="24.75" thickBot="1" x14ac:dyDescent="0.25">
      <c r="A24" s="18" t="s">
        <v>23</v>
      </c>
      <c r="B24" s="23">
        <v>435</v>
      </c>
      <c r="C24" s="23">
        <v>191</v>
      </c>
      <c r="D24" s="27">
        <v>586</v>
      </c>
      <c r="E24" s="23">
        <v>771</v>
      </c>
      <c r="F24" s="27">
        <v>241</v>
      </c>
      <c r="G24" s="121">
        <f t="shared" si="6"/>
        <v>2224</v>
      </c>
      <c r="H24" s="150">
        <v>2</v>
      </c>
      <c r="I24" s="68">
        <v>1</v>
      </c>
      <c r="J24" s="68">
        <v>4</v>
      </c>
      <c r="K24" s="68">
        <v>2</v>
      </c>
      <c r="L24" s="69">
        <v>0</v>
      </c>
      <c r="M24" s="372">
        <f>SUM(H24:L24)</f>
        <v>9</v>
      </c>
      <c r="N24" s="70">
        <f t="shared" si="3"/>
        <v>0.40467625899280574</v>
      </c>
      <c r="O24" s="89">
        <v>1</v>
      </c>
      <c r="P24" s="68">
        <v>1</v>
      </c>
      <c r="Q24" s="89">
        <v>9</v>
      </c>
      <c r="R24" s="89">
        <v>4</v>
      </c>
      <c r="S24" s="68">
        <v>1</v>
      </c>
      <c r="T24" s="372">
        <f>SUM(O24:S24)</f>
        <v>16</v>
      </c>
      <c r="U24" s="213">
        <f t="shared" si="0"/>
        <v>0.71942446043165464</v>
      </c>
      <c r="V24" s="89">
        <v>1</v>
      </c>
      <c r="W24" s="89">
        <v>0</v>
      </c>
      <c r="X24" s="89">
        <v>6</v>
      </c>
      <c r="Y24" s="89">
        <v>1</v>
      </c>
      <c r="Z24" s="89">
        <f>Münster14!E24</f>
        <v>0</v>
      </c>
      <c r="AA24" s="372">
        <f>SUM(V24:Z24)</f>
        <v>8</v>
      </c>
      <c r="AB24" s="105">
        <f t="shared" si="1"/>
        <v>0.35971223021582732</v>
      </c>
      <c r="AC24" s="217">
        <v>2</v>
      </c>
      <c r="AD24" s="217">
        <v>1</v>
      </c>
      <c r="AE24" s="217">
        <v>82</v>
      </c>
    </row>
    <row r="25" spans="1:34" ht="15.75" thickBot="1" x14ac:dyDescent="0.3">
      <c r="A25" s="13" t="s">
        <v>22</v>
      </c>
      <c r="B25" s="30">
        <f t="shared" ref="B25:I25" si="10">SUM(B14:B24)</f>
        <v>1782</v>
      </c>
      <c r="C25" s="30">
        <f t="shared" si="10"/>
        <v>751</v>
      </c>
      <c r="D25" s="30">
        <f t="shared" si="10"/>
        <v>2780</v>
      </c>
      <c r="E25" s="30">
        <f t="shared" si="10"/>
        <v>2588</v>
      </c>
      <c r="F25" s="30">
        <f t="shared" si="10"/>
        <v>1104</v>
      </c>
      <c r="G25" s="122">
        <f t="shared" si="10"/>
        <v>9005</v>
      </c>
      <c r="H25" s="71">
        <f t="shared" si="10"/>
        <v>3</v>
      </c>
      <c r="I25" s="72">
        <f t="shared" si="10"/>
        <v>2</v>
      </c>
      <c r="J25" s="72">
        <f>SUM(J14:J24)</f>
        <v>9</v>
      </c>
      <c r="K25" s="72">
        <f t="shared" ref="K25:L25" si="11">SUM(K14:K24)</f>
        <v>13</v>
      </c>
      <c r="L25" s="72">
        <f t="shared" si="11"/>
        <v>3</v>
      </c>
      <c r="M25" s="325">
        <f>SUM(M14:M24)</f>
        <v>30</v>
      </c>
      <c r="N25" s="118">
        <f t="shared" si="3"/>
        <v>0.33314825097168238</v>
      </c>
      <c r="O25" s="116">
        <f t="shared" ref="O25:T25" si="12">SUM(O14:O24)</f>
        <v>11</v>
      </c>
      <c r="P25" s="116">
        <f t="shared" si="12"/>
        <v>2</v>
      </c>
      <c r="Q25" s="116">
        <f t="shared" si="12"/>
        <v>21</v>
      </c>
      <c r="R25" s="116">
        <f>SUM(R14:R24)</f>
        <v>27</v>
      </c>
      <c r="S25" s="116">
        <f t="shared" si="12"/>
        <v>7</v>
      </c>
      <c r="T25" s="328">
        <f t="shared" si="12"/>
        <v>68</v>
      </c>
      <c r="U25" s="214">
        <f t="shared" si="0"/>
        <v>0.75513603553581343</v>
      </c>
      <c r="V25" s="116">
        <f t="shared" ref="V25:AA25" si="13">SUM(V14:V24)</f>
        <v>10</v>
      </c>
      <c r="W25" s="116">
        <f t="shared" si="13"/>
        <v>1</v>
      </c>
      <c r="X25" s="116">
        <f t="shared" si="13"/>
        <v>19</v>
      </c>
      <c r="Y25" s="116">
        <f t="shared" si="13"/>
        <v>2</v>
      </c>
      <c r="Z25" s="116">
        <f t="shared" si="13"/>
        <v>3</v>
      </c>
      <c r="AA25" s="328">
        <f t="shared" si="13"/>
        <v>35</v>
      </c>
      <c r="AB25" s="106">
        <f t="shared" si="1"/>
        <v>0.38867295946696279</v>
      </c>
      <c r="AC25" s="132">
        <f>SUM(AC14:AC24)</f>
        <v>5</v>
      </c>
      <c r="AD25" s="115">
        <f>SUM(AD14:AD24)</f>
        <v>1</v>
      </c>
      <c r="AE25" s="115">
        <f>SUM(AE14:AE24)</f>
        <v>266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75"/>
      <c r="O27" s="74"/>
      <c r="P27" s="74"/>
      <c r="Q27" s="74"/>
      <c r="R27" s="74"/>
      <c r="S27" s="74"/>
      <c r="T27" s="88"/>
      <c r="U27" s="131"/>
      <c r="AA27" s="99"/>
      <c r="AC27" s="99"/>
      <c r="AD27" s="113"/>
      <c r="AE27" s="99"/>
    </row>
    <row r="28" spans="1:34" ht="15" thickBot="1" x14ac:dyDescent="0.25">
      <c r="A28" s="7" t="s">
        <v>15</v>
      </c>
      <c r="B28" s="22">
        <v>3056</v>
      </c>
      <c r="C28" s="22">
        <v>1753</v>
      </c>
      <c r="D28" s="22">
        <v>3508</v>
      </c>
      <c r="E28" s="22">
        <v>2866</v>
      </c>
      <c r="F28" s="22">
        <v>2904</v>
      </c>
      <c r="G28" s="121">
        <f>SUM(B28:F28)</f>
        <v>14087</v>
      </c>
      <c r="H28" s="44">
        <v>2</v>
      </c>
      <c r="I28" s="45">
        <v>0</v>
      </c>
      <c r="J28" s="45">
        <v>0</v>
      </c>
      <c r="K28" s="45">
        <v>1</v>
      </c>
      <c r="L28" s="76">
        <v>1</v>
      </c>
      <c r="M28" s="372">
        <f t="shared" ref="M28:M36" si="14">SUM(H28:L28)</f>
        <v>4</v>
      </c>
      <c r="N28" s="77">
        <f t="shared" si="3"/>
        <v>2.8394974089586144E-2</v>
      </c>
      <c r="O28" s="45">
        <v>6</v>
      </c>
      <c r="P28" s="45">
        <v>4</v>
      </c>
      <c r="Q28" s="45">
        <v>6</v>
      </c>
      <c r="R28" s="45">
        <v>4</v>
      </c>
      <c r="S28" s="45">
        <v>3</v>
      </c>
      <c r="T28" s="305">
        <f>SUM(O28:S28)</f>
        <v>23</v>
      </c>
      <c r="U28" s="133">
        <f t="shared" si="0"/>
        <v>0.16327110101512032</v>
      </c>
      <c r="V28" s="45">
        <v>0</v>
      </c>
      <c r="W28" s="45">
        <v>3</v>
      </c>
      <c r="X28" s="45">
        <v>2</v>
      </c>
      <c r="Y28" s="45">
        <v>0</v>
      </c>
      <c r="Z28" s="45">
        <v>0</v>
      </c>
      <c r="AA28" s="372">
        <f t="shared" ref="AA28:AA36" si="15">SUM(V28:Z28)</f>
        <v>5</v>
      </c>
      <c r="AB28" s="104">
        <f t="shared" si="1"/>
        <v>3.5493717611982681E-2</v>
      </c>
      <c r="AC28" s="217">
        <v>5</v>
      </c>
      <c r="AD28" s="217">
        <v>1</v>
      </c>
      <c r="AE28" s="217">
        <v>85</v>
      </c>
    </row>
    <row r="29" spans="1:34" ht="15" thickBot="1" x14ac:dyDescent="0.25">
      <c r="A29" s="11" t="s">
        <v>16</v>
      </c>
      <c r="B29" s="27">
        <v>1201</v>
      </c>
      <c r="C29" s="27">
        <v>726</v>
      </c>
      <c r="D29" s="27">
        <v>1678</v>
      </c>
      <c r="E29" s="27">
        <v>1247</v>
      </c>
      <c r="F29" s="27">
        <v>961</v>
      </c>
      <c r="G29" s="121">
        <f t="shared" ref="G29:G36" si="16">SUM(B29:F29)</f>
        <v>5813</v>
      </c>
      <c r="H29" s="60">
        <v>3</v>
      </c>
      <c r="I29" s="62">
        <v>2</v>
      </c>
      <c r="J29" s="62">
        <v>4</v>
      </c>
      <c r="K29" s="62">
        <v>3</v>
      </c>
      <c r="L29" s="48">
        <v>1</v>
      </c>
      <c r="M29" s="372">
        <f t="shared" si="14"/>
        <v>13</v>
      </c>
      <c r="N29" s="78">
        <f t="shared" si="3"/>
        <v>0.22363667641493204</v>
      </c>
      <c r="O29" s="62">
        <v>3</v>
      </c>
      <c r="P29" s="62">
        <v>4</v>
      </c>
      <c r="Q29" s="62">
        <v>5</v>
      </c>
      <c r="R29" s="62">
        <v>5</v>
      </c>
      <c r="S29" s="62">
        <v>0</v>
      </c>
      <c r="T29" s="372">
        <f t="shared" ref="T29:T36" si="17">SUM(O29:S29)</f>
        <v>17</v>
      </c>
      <c r="U29" s="92">
        <f t="shared" si="0"/>
        <v>0.29244796146568036</v>
      </c>
      <c r="V29" s="62">
        <v>0</v>
      </c>
      <c r="W29" s="62">
        <v>0</v>
      </c>
      <c r="X29" s="62">
        <v>5</v>
      </c>
      <c r="Y29" s="62">
        <v>0</v>
      </c>
      <c r="Z29" s="62">
        <v>0</v>
      </c>
      <c r="AA29" s="372">
        <f t="shared" si="15"/>
        <v>5</v>
      </c>
      <c r="AB29" s="104">
        <f t="shared" si="1"/>
        <v>8.6014106313435409E-2</v>
      </c>
      <c r="AC29" s="217">
        <v>14</v>
      </c>
      <c r="AD29" s="217">
        <v>0</v>
      </c>
      <c r="AE29" s="217">
        <v>52</v>
      </c>
    </row>
    <row r="30" spans="1:34" ht="15" thickBot="1" x14ac:dyDescent="0.25">
      <c r="A30" s="11" t="s">
        <v>35</v>
      </c>
      <c r="B30" s="27">
        <v>960</v>
      </c>
      <c r="C30" s="27">
        <v>604</v>
      </c>
      <c r="D30" s="27">
        <v>858</v>
      </c>
      <c r="E30" s="27">
        <v>716</v>
      </c>
      <c r="F30" s="27">
        <v>1236</v>
      </c>
      <c r="G30" s="121">
        <f t="shared" si="16"/>
        <v>4374</v>
      </c>
      <c r="H30" s="60">
        <v>0</v>
      </c>
      <c r="I30" s="62">
        <v>0</v>
      </c>
      <c r="J30" s="62">
        <v>1</v>
      </c>
      <c r="K30" s="62">
        <v>3</v>
      </c>
      <c r="L30" s="48">
        <v>1</v>
      </c>
      <c r="M30" s="372">
        <f t="shared" si="14"/>
        <v>5</v>
      </c>
      <c r="N30" s="78">
        <f t="shared" si="3"/>
        <v>0.11431184270690443</v>
      </c>
      <c r="O30" s="62">
        <v>4</v>
      </c>
      <c r="P30" s="62">
        <v>0</v>
      </c>
      <c r="Q30" s="62">
        <v>9</v>
      </c>
      <c r="R30" s="62">
        <v>3</v>
      </c>
      <c r="S30" s="62">
        <v>5</v>
      </c>
      <c r="T30" s="372">
        <f t="shared" si="17"/>
        <v>21</v>
      </c>
      <c r="U30" s="92">
        <f t="shared" si="0"/>
        <v>0.48010973936899864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372">
        <f t="shared" si="15"/>
        <v>0</v>
      </c>
      <c r="AB30" s="104">
        <f t="shared" si="1"/>
        <v>0</v>
      </c>
      <c r="AC30" s="217">
        <v>7</v>
      </c>
      <c r="AD30" s="217">
        <v>0</v>
      </c>
      <c r="AE30" s="217">
        <v>38</v>
      </c>
    </row>
    <row r="31" spans="1:34" ht="15" thickBot="1" x14ac:dyDescent="0.25">
      <c r="A31" s="11" t="s">
        <v>17</v>
      </c>
      <c r="B31" s="27">
        <v>6768</v>
      </c>
      <c r="C31" s="27">
        <v>3536</v>
      </c>
      <c r="D31" s="27">
        <v>8571</v>
      </c>
      <c r="E31" s="27">
        <v>6357</v>
      </c>
      <c r="F31" s="27">
        <v>5734</v>
      </c>
      <c r="G31" s="121">
        <f t="shared" si="16"/>
        <v>30966</v>
      </c>
      <c r="H31" s="60">
        <v>2</v>
      </c>
      <c r="I31" s="62">
        <v>0</v>
      </c>
      <c r="J31" s="62">
        <v>6</v>
      </c>
      <c r="K31" s="62">
        <v>6</v>
      </c>
      <c r="L31" s="48">
        <v>0</v>
      </c>
      <c r="M31" s="372">
        <f t="shared" si="14"/>
        <v>14</v>
      </c>
      <c r="N31" s="78">
        <f t="shared" si="3"/>
        <v>4.5210876445133372E-2</v>
      </c>
      <c r="O31" s="62">
        <v>7</v>
      </c>
      <c r="P31" s="62">
        <v>0</v>
      </c>
      <c r="Q31" s="62">
        <v>5</v>
      </c>
      <c r="R31" s="62">
        <v>7</v>
      </c>
      <c r="S31" s="62">
        <v>3</v>
      </c>
      <c r="T31" s="372">
        <f t="shared" si="17"/>
        <v>22</v>
      </c>
      <c r="U31" s="92">
        <f t="shared" si="0"/>
        <v>7.104566298520959E-2</v>
      </c>
      <c r="V31" s="62">
        <v>3</v>
      </c>
      <c r="W31" s="62">
        <v>0</v>
      </c>
      <c r="X31" s="62">
        <v>1</v>
      </c>
      <c r="Y31" s="62">
        <v>2</v>
      </c>
      <c r="Z31" s="62">
        <v>3</v>
      </c>
      <c r="AA31" s="372">
        <f t="shared" si="15"/>
        <v>9</v>
      </c>
      <c r="AB31" s="104">
        <f t="shared" si="1"/>
        <v>2.906413485758574E-2</v>
      </c>
      <c r="AC31" s="217">
        <v>4</v>
      </c>
      <c r="AD31" s="217">
        <v>0</v>
      </c>
      <c r="AE31" s="217">
        <v>133</v>
      </c>
      <c r="AH31" t="s">
        <v>53</v>
      </c>
    </row>
    <row r="32" spans="1:34" ht="15" thickBot="1" x14ac:dyDescent="0.25">
      <c r="A32" s="11" t="s">
        <v>18</v>
      </c>
      <c r="B32" s="27">
        <v>1688</v>
      </c>
      <c r="C32" s="27">
        <v>983</v>
      </c>
      <c r="D32" s="27">
        <v>1271</v>
      </c>
      <c r="E32" s="27">
        <v>1033</v>
      </c>
      <c r="F32" s="27">
        <v>2759</v>
      </c>
      <c r="G32" s="121">
        <f t="shared" si="16"/>
        <v>7734</v>
      </c>
      <c r="H32" s="60">
        <v>1</v>
      </c>
      <c r="I32" s="62">
        <v>0</v>
      </c>
      <c r="J32" s="62">
        <v>2</v>
      </c>
      <c r="K32" s="62">
        <v>1</v>
      </c>
      <c r="L32" s="48">
        <v>0</v>
      </c>
      <c r="M32" s="372">
        <f t="shared" si="14"/>
        <v>4</v>
      </c>
      <c r="N32" s="78">
        <f t="shared" si="3"/>
        <v>5.1719679337988107E-2</v>
      </c>
      <c r="O32" s="62">
        <v>2</v>
      </c>
      <c r="P32" s="62">
        <v>0</v>
      </c>
      <c r="Q32" s="62">
        <v>4</v>
      </c>
      <c r="R32" s="62">
        <v>3</v>
      </c>
      <c r="S32" s="62">
        <v>5</v>
      </c>
      <c r="T32" s="372">
        <f t="shared" si="17"/>
        <v>14</v>
      </c>
      <c r="U32" s="92">
        <f t="shared" si="0"/>
        <v>0.18101887768295838</v>
      </c>
      <c r="V32" s="62">
        <v>0</v>
      </c>
      <c r="W32" s="62">
        <v>1</v>
      </c>
      <c r="X32" s="62">
        <v>0</v>
      </c>
      <c r="Y32" s="62">
        <v>0</v>
      </c>
      <c r="Z32" s="62">
        <v>2</v>
      </c>
      <c r="AA32" s="372">
        <f t="shared" si="15"/>
        <v>3</v>
      </c>
      <c r="AB32" s="104">
        <f t="shared" si="1"/>
        <v>3.8789759503491075E-2</v>
      </c>
      <c r="AC32" s="217">
        <v>5</v>
      </c>
      <c r="AD32" s="217">
        <v>0</v>
      </c>
      <c r="AE32" s="217">
        <v>24</v>
      </c>
    </row>
    <row r="33" spans="1:32" ht="15" thickBot="1" x14ac:dyDescent="0.25">
      <c r="A33" s="11" t="s">
        <v>19</v>
      </c>
      <c r="B33" s="27">
        <v>8439</v>
      </c>
      <c r="C33" s="27">
        <v>5313</v>
      </c>
      <c r="D33" s="27">
        <v>11215</v>
      </c>
      <c r="E33" s="27">
        <v>8328</v>
      </c>
      <c r="F33" s="27">
        <v>6396</v>
      </c>
      <c r="G33" s="121">
        <f t="shared" si="16"/>
        <v>39691</v>
      </c>
      <c r="H33" s="60">
        <v>17</v>
      </c>
      <c r="I33" s="62">
        <v>15</v>
      </c>
      <c r="J33" s="62">
        <v>31</v>
      </c>
      <c r="K33" s="62">
        <v>27</v>
      </c>
      <c r="L33" s="48">
        <v>12</v>
      </c>
      <c r="M33" s="372">
        <f t="shared" si="14"/>
        <v>102</v>
      </c>
      <c r="N33" s="78">
        <f t="shared" si="3"/>
        <v>0.25698521075306746</v>
      </c>
      <c r="O33" s="62">
        <v>15</v>
      </c>
      <c r="P33" s="62">
        <v>26</v>
      </c>
      <c r="Q33" s="62">
        <v>53</v>
      </c>
      <c r="R33" s="62">
        <v>33</v>
      </c>
      <c r="S33" s="62">
        <v>16</v>
      </c>
      <c r="T33" s="372">
        <f t="shared" si="17"/>
        <v>143</v>
      </c>
      <c r="U33" s="92">
        <f t="shared" si="0"/>
        <v>0.36028318762439848</v>
      </c>
      <c r="V33" s="62">
        <v>16</v>
      </c>
      <c r="W33" s="62">
        <v>3</v>
      </c>
      <c r="X33" s="62">
        <v>33</v>
      </c>
      <c r="Y33" s="62">
        <v>5</v>
      </c>
      <c r="Z33" s="62">
        <v>8</v>
      </c>
      <c r="AA33" s="372">
        <f t="shared" si="15"/>
        <v>65</v>
      </c>
      <c r="AB33" s="104">
        <f t="shared" si="1"/>
        <v>0.1637650852838175</v>
      </c>
      <c r="AC33" s="217">
        <v>35</v>
      </c>
      <c r="AD33" s="217">
        <v>11</v>
      </c>
      <c r="AE33" s="217">
        <v>390</v>
      </c>
    </row>
    <row r="34" spans="1:32" ht="15" thickBot="1" x14ac:dyDescent="0.25">
      <c r="A34" s="11" t="s">
        <v>20</v>
      </c>
      <c r="B34" s="27">
        <v>7177</v>
      </c>
      <c r="C34" s="27">
        <v>4129</v>
      </c>
      <c r="D34" s="27">
        <v>8524</v>
      </c>
      <c r="E34" s="27">
        <v>8091</v>
      </c>
      <c r="F34" s="27">
        <v>4652</v>
      </c>
      <c r="G34" s="121">
        <f t="shared" si="16"/>
        <v>32573</v>
      </c>
      <c r="H34" s="60">
        <v>6</v>
      </c>
      <c r="I34" s="62">
        <v>12</v>
      </c>
      <c r="J34" s="62">
        <v>24</v>
      </c>
      <c r="K34" s="62">
        <v>8</v>
      </c>
      <c r="L34" s="48">
        <v>6</v>
      </c>
      <c r="M34" s="372">
        <f t="shared" si="14"/>
        <v>56</v>
      </c>
      <c r="N34" s="78">
        <f t="shared" si="3"/>
        <v>0.1719215301016179</v>
      </c>
      <c r="O34" s="62">
        <v>19</v>
      </c>
      <c r="P34" s="62">
        <v>13</v>
      </c>
      <c r="Q34" s="62">
        <v>24</v>
      </c>
      <c r="R34" s="62">
        <v>15</v>
      </c>
      <c r="S34" s="62">
        <v>4</v>
      </c>
      <c r="T34" s="372">
        <f t="shared" si="17"/>
        <v>75</v>
      </c>
      <c r="U34" s="92">
        <f t="shared" si="0"/>
        <v>0.23025204924323828</v>
      </c>
      <c r="V34" s="62">
        <v>14</v>
      </c>
      <c r="W34" s="62">
        <v>8</v>
      </c>
      <c r="X34" s="62">
        <v>3</v>
      </c>
      <c r="Y34" s="62">
        <v>5</v>
      </c>
      <c r="Z34" s="62">
        <v>2</v>
      </c>
      <c r="AA34" s="372">
        <f t="shared" si="15"/>
        <v>32</v>
      </c>
      <c r="AB34" s="104">
        <f t="shared" si="1"/>
        <v>9.8240874343781662E-2</v>
      </c>
      <c r="AC34" s="217">
        <v>20</v>
      </c>
      <c r="AD34" s="217">
        <v>4</v>
      </c>
      <c r="AE34" s="217">
        <v>257</v>
      </c>
    </row>
    <row r="35" spans="1:32" ht="15" thickBot="1" x14ac:dyDescent="0.25">
      <c r="A35" s="11" t="s">
        <v>25</v>
      </c>
      <c r="B35" s="27">
        <v>240</v>
      </c>
      <c r="C35" s="27">
        <v>68</v>
      </c>
      <c r="D35" s="27">
        <v>168</v>
      </c>
      <c r="E35" s="27">
        <v>103</v>
      </c>
      <c r="F35" s="27">
        <v>85</v>
      </c>
      <c r="G35" s="121">
        <f t="shared" si="16"/>
        <v>664</v>
      </c>
      <c r="H35" s="60">
        <v>0</v>
      </c>
      <c r="I35" s="62">
        <v>2</v>
      </c>
      <c r="J35" s="62">
        <v>0</v>
      </c>
      <c r="K35" s="62">
        <v>0</v>
      </c>
      <c r="L35" s="48">
        <v>0</v>
      </c>
      <c r="M35" s="372">
        <f t="shared" si="14"/>
        <v>2</v>
      </c>
      <c r="N35" s="78">
        <f t="shared" si="3"/>
        <v>0.30120481927710846</v>
      </c>
      <c r="O35" s="62">
        <v>0</v>
      </c>
      <c r="P35" s="62">
        <v>0</v>
      </c>
      <c r="Q35" s="62">
        <v>2</v>
      </c>
      <c r="R35" s="62">
        <v>3</v>
      </c>
      <c r="S35" s="62">
        <v>3</v>
      </c>
      <c r="T35" s="372">
        <f t="shared" si="17"/>
        <v>8</v>
      </c>
      <c r="U35" s="92">
        <f t="shared" si="0"/>
        <v>1.2048192771084338</v>
      </c>
      <c r="V35" s="62">
        <v>1</v>
      </c>
      <c r="W35" s="62">
        <v>0</v>
      </c>
      <c r="X35" s="62">
        <v>2</v>
      </c>
      <c r="Y35" s="62">
        <v>0</v>
      </c>
      <c r="Z35" s="62">
        <v>0</v>
      </c>
      <c r="AA35" s="372">
        <f t="shared" si="15"/>
        <v>3</v>
      </c>
      <c r="AB35" s="104">
        <f t="shared" si="1"/>
        <v>0.45180722891566266</v>
      </c>
      <c r="AC35" s="217">
        <v>12</v>
      </c>
      <c r="AD35" s="217">
        <v>0</v>
      </c>
      <c r="AE35" s="217">
        <v>17</v>
      </c>
    </row>
    <row r="36" spans="1:32" ht="15" thickBot="1" x14ac:dyDescent="0.25">
      <c r="A36" s="12" t="s">
        <v>26</v>
      </c>
      <c r="B36" s="29">
        <v>79692</v>
      </c>
      <c r="C36" s="29">
        <v>49825</v>
      </c>
      <c r="D36" s="27">
        <v>110528</v>
      </c>
      <c r="E36" s="29">
        <v>99785</v>
      </c>
      <c r="F36" s="29">
        <v>69855</v>
      </c>
      <c r="G36" s="121">
        <f t="shared" si="16"/>
        <v>409685</v>
      </c>
      <c r="H36" s="67">
        <v>120</v>
      </c>
      <c r="I36" s="68">
        <v>70</v>
      </c>
      <c r="J36" s="68">
        <v>170</v>
      </c>
      <c r="K36" s="68">
        <v>79</v>
      </c>
      <c r="L36" s="69">
        <v>50</v>
      </c>
      <c r="M36" s="372">
        <f t="shared" si="14"/>
        <v>489</v>
      </c>
      <c r="N36" s="96">
        <f t="shared" si="3"/>
        <v>0.11935999609456045</v>
      </c>
      <c r="O36" s="68">
        <v>179</v>
      </c>
      <c r="P36" s="68">
        <v>90</v>
      </c>
      <c r="Q36" s="68">
        <v>233</v>
      </c>
      <c r="R36" s="68">
        <v>171</v>
      </c>
      <c r="S36" s="68">
        <v>128</v>
      </c>
      <c r="T36" s="372">
        <f t="shared" si="17"/>
        <v>801</v>
      </c>
      <c r="U36" s="142">
        <f t="shared" si="0"/>
        <v>0.19551606722237816</v>
      </c>
      <c r="V36" s="68">
        <v>194</v>
      </c>
      <c r="W36" s="68">
        <v>14</v>
      </c>
      <c r="X36" s="68">
        <v>155</v>
      </c>
      <c r="Y36" s="68">
        <v>54</v>
      </c>
      <c r="Z36" s="68">
        <v>44</v>
      </c>
      <c r="AA36" s="372">
        <f t="shared" si="15"/>
        <v>461</v>
      </c>
      <c r="AB36" s="105">
        <f t="shared" si="1"/>
        <v>0.11252547689078195</v>
      </c>
      <c r="AC36" s="217">
        <v>176</v>
      </c>
      <c r="AD36" s="217">
        <v>63</v>
      </c>
      <c r="AE36" s="372">
        <v>3073</v>
      </c>
    </row>
    <row r="37" spans="1:32" ht="15.75" thickBot="1" x14ac:dyDescent="0.3">
      <c r="A37" s="13" t="s">
        <v>21</v>
      </c>
      <c r="B37" s="30">
        <f t="shared" ref="B37:M37" si="18">SUM(B28:B36)</f>
        <v>109221</v>
      </c>
      <c r="C37" s="30">
        <f t="shared" si="18"/>
        <v>66937</v>
      </c>
      <c r="D37" s="30">
        <f t="shared" si="18"/>
        <v>146321</v>
      </c>
      <c r="E37" s="30">
        <f>SUM(E28:E36)</f>
        <v>128526</v>
      </c>
      <c r="F37" s="30">
        <f t="shared" si="18"/>
        <v>94582</v>
      </c>
      <c r="G37" s="122">
        <f t="shared" si="18"/>
        <v>545587</v>
      </c>
      <c r="H37" s="71">
        <f t="shared" si="18"/>
        <v>151</v>
      </c>
      <c r="I37" s="72">
        <f t="shared" si="18"/>
        <v>101</v>
      </c>
      <c r="J37" s="72">
        <f t="shared" si="18"/>
        <v>238</v>
      </c>
      <c r="K37" s="72">
        <f>SUM(K28:K36)</f>
        <v>128</v>
      </c>
      <c r="L37" s="72">
        <f t="shared" si="18"/>
        <v>71</v>
      </c>
      <c r="M37" s="325">
        <f t="shared" si="18"/>
        <v>689</v>
      </c>
      <c r="N37" s="118">
        <f t="shared" si="3"/>
        <v>0.12628600021628081</v>
      </c>
      <c r="O37" s="116">
        <f t="shared" ref="O37:T37" si="19">SUM(O28:O36)</f>
        <v>235</v>
      </c>
      <c r="P37" s="116">
        <f t="shared" si="19"/>
        <v>137</v>
      </c>
      <c r="Q37" s="116">
        <f t="shared" si="19"/>
        <v>341</v>
      </c>
      <c r="R37" s="116">
        <f>SUM(R28:R36)</f>
        <v>244</v>
      </c>
      <c r="S37" s="116">
        <f t="shared" si="19"/>
        <v>167</v>
      </c>
      <c r="T37" s="328">
        <f t="shared" si="19"/>
        <v>1124</v>
      </c>
      <c r="U37" s="91">
        <f t="shared" si="0"/>
        <v>0.206016638959506</v>
      </c>
      <c r="V37" s="116">
        <f t="shared" ref="V37:AA37" si="20">SUM(V28:V36)</f>
        <v>228</v>
      </c>
      <c r="W37" s="116">
        <f t="shared" si="20"/>
        <v>29</v>
      </c>
      <c r="X37" s="116">
        <f t="shared" si="20"/>
        <v>201</v>
      </c>
      <c r="Y37" s="116">
        <f>SUM(Y28:Y36)</f>
        <v>66</v>
      </c>
      <c r="Z37" s="116">
        <f t="shared" si="20"/>
        <v>59</v>
      </c>
      <c r="AA37" s="328">
        <f t="shared" si="20"/>
        <v>583</v>
      </c>
      <c r="AB37" s="106">
        <f t="shared" si="1"/>
        <v>0.10685738479839146</v>
      </c>
      <c r="AC37" s="132">
        <f>SUM(AC28:AC36)</f>
        <v>278</v>
      </c>
      <c r="AD37" s="115">
        <f>SUM(AD28:AD36)</f>
        <v>79</v>
      </c>
      <c r="AE37" s="117">
        <f>SUM(AE28:AE36)</f>
        <v>4069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</row>
    <row r="39" spans="1:32" ht="15.75" thickBot="1" x14ac:dyDescent="0.3">
      <c r="A39" s="15" t="s">
        <v>28</v>
      </c>
      <c r="B39" s="32"/>
      <c r="C39" s="32"/>
      <c r="D39" s="32"/>
      <c r="E39" s="32"/>
      <c r="F39" s="32"/>
      <c r="G39" s="126"/>
      <c r="H39" s="80"/>
      <c r="I39" s="80"/>
      <c r="J39" s="80"/>
      <c r="K39" s="80"/>
      <c r="L39" s="81"/>
      <c r="M39" s="82"/>
      <c r="N39" s="129"/>
      <c r="O39" s="80"/>
      <c r="P39" s="80"/>
      <c r="Q39" s="80"/>
      <c r="R39" s="80"/>
      <c r="S39" s="80"/>
      <c r="T39" s="79"/>
      <c r="U39" s="131"/>
      <c r="AA39" s="99"/>
      <c r="AC39" s="99"/>
      <c r="AD39" s="99"/>
      <c r="AE39" s="99"/>
    </row>
    <row r="40" spans="1:32" ht="15.75" thickBot="1" x14ac:dyDescent="0.3">
      <c r="A40" s="7" t="s">
        <v>41</v>
      </c>
      <c r="B40" s="27">
        <v>222</v>
      </c>
      <c r="C40" s="27">
        <v>118</v>
      </c>
      <c r="D40" s="27">
        <v>256</v>
      </c>
      <c r="E40" s="317">
        <v>197</v>
      </c>
      <c r="F40" s="317">
        <v>149</v>
      </c>
      <c r="G40" s="127">
        <f>SUM(B40:F40)</f>
        <v>942</v>
      </c>
      <c r="H40" s="44">
        <v>0</v>
      </c>
      <c r="I40" s="45">
        <v>0</v>
      </c>
      <c r="J40" s="45">
        <v>0</v>
      </c>
      <c r="K40" s="45">
        <v>0</v>
      </c>
      <c r="L40" s="83">
        <v>0</v>
      </c>
      <c r="M40" s="372">
        <f>SUM(H40:L40)</f>
        <v>0</v>
      </c>
      <c r="N40" s="144">
        <f t="shared" si="3"/>
        <v>0</v>
      </c>
      <c r="O40" s="45">
        <v>0</v>
      </c>
      <c r="P40" s="45">
        <v>2</v>
      </c>
      <c r="Q40" s="45">
        <v>3</v>
      </c>
      <c r="R40" s="45">
        <v>0</v>
      </c>
      <c r="S40" s="45">
        <v>0</v>
      </c>
      <c r="T40" s="372">
        <f>SUM(O40:S40)</f>
        <v>5</v>
      </c>
      <c r="U40" s="306">
        <f t="shared" si="0"/>
        <v>0.53078556263269638</v>
      </c>
      <c r="V40" s="307">
        <v>0</v>
      </c>
      <c r="W40" s="307">
        <v>0</v>
      </c>
      <c r="X40" s="307">
        <v>0</v>
      </c>
      <c r="Y40" s="307">
        <f>Kölle14!E40</f>
        <v>0</v>
      </c>
      <c r="Z40" s="165">
        <v>0</v>
      </c>
      <c r="AA40" s="217">
        <f>SUM(V40:Z40)</f>
        <v>0</v>
      </c>
      <c r="AB40" s="107">
        <f t="shared" si="1"/>
        <v>0</v>
      </c>
      <c r="AC40" s="102">
        <v>2</v>
      </c>
      <c r="AD40" s="102">
        <v>0</v>
      </c>
      <c r="AE40" s="102">
        <v>9</v>
      </c>
    </row>
    <row r="41" spans="1:32" ht="15.75" thickBot="1" x14ac:dyDescent="0.3">
      <c r="A41" s="12" t="s">
        <v>27</v>
      </c>
      <c r="B41" s="319">
        <v>101534</v>
      </c>
      <c r="C41" s="319">
        <v>44373</v>
      </c>
      <c r="D41" s="323">
        <v>44686</v>
      </c>
      <c r="E41" s="320">
        <v>71678</v>
      </c>
      <c r="F41" s="320">
        <v>69487</v>
      </c>
      <c r="G41" s="127">
        <f>SUM(B41:F41)</f>
        <v>331758</v>
      </c>
      <c r="H41" s="67">
        <v>34</v>
      </c>
      <c r="I41" s="68">
        <v>26</v>
      </c>
      <c r="J41" s="68">
        <v>31</v>
      </c>
      <c r="K41" s="68">
        <v>11</v>
      </c>
      <c r="L41" s="69">
        <v>14</v>
      </c>
      <c r="M41" s="372">
        <f>SUM(H41:L41)</f>
        <v>116</v>
      </c>
      <c r="N41" s="145">
        <f t="shared" si="3"/>
        <v>3.4965245751421216E-2</v>
      </c>
      <c r="O41" s="68">
        <v>20</v>
      </c>
      <c r="P41" s="68">
        <v>16</v>
      </c>
      <c r="Q41" s="68">
        <v>40</v>
      </c>
      <c r="R41" s="68">
        <v>15</v>
      </c>
      <c r="S41" s="68">
        <v>18</v>
      </c>
      <c r="T41" s="372">
        <f>SUM(O41:S41)</f>
        <v>109</v>
      </c>
      <c r="U41" s="213">
        <f t="shared" si="0"/>
        <v>3.2855274025042347E-2</v>
      </c>
      <c r="V41" s="313">
        <v>18</v>
      </c>
      <c r="W41" s="313">
        <v>5</v>
      </c>
      <c r="X41" s="314">
        <v>31</v>
      </c>
      <c r="Y41" s="314">
        <v>6</v>
      </c>
      <c r="Z41">
        <v>3</v>
      </c>
      <c r="AA41" s="393">
        <f>SUM(V41:Z41)</f>
        <v>63</v>
      </c>
      <c r="AB41" s="105">
        <f t="shared" si="1"/>
        <v>1.89897455374098E-2</v>
      </c>
      <c r="AC41" s="114">
        <v>13</v>
      </c>
      <c r="AD41" s="114">
        <v>9</v>
      </c>
      <c r="AE41" s="114">
        <v>424</v>
      </c>
    </row>
    <row r="42" spans="1:32" ht="15.75" thickBot="1" x14ac:dyDescent="0.3">
      <c r="A42" s="13" t="s">
        <v>21</v>
      </c>
      <c r="B42" s="318">
        <f>SUM(B40:B41)</f>
        <v>101756</v>
      </c>
      <c r="C42" s="318">
        <f>SUM(C40:C41)</f>
        <v>44491</v>
      </c>
      <c r="D42" s="318">
        <f>SUM(D40:D41)</f>
        <v>44942</v>
      </c>
      <c r="E42" s="318">
        <f>SUM(E40:E41)</f>
        <v>71875</v>
      </c>
      <c r="F42" s="318">
        <f>SUM(F40:F41)</f>
        <v>69636</v>
      </c>
      <c r="G42" s="308">
        <f t="shared" ref="G42:M42" si="21">SUM(G40:G41)</f>
        <v>332700</v>
      </c>
      <c r="H42" s="120">
        <f>SUM(H40:H41)</f>
        <v>34</v>
      </c>
      <c r="I42" s="120">
        <f>SUM(I40:I41)</f>
        <v>26</v>
      </c>
      <c r="J42" s="120">
        <f>SUM(J40:J41)</f>
        <v>31</v>
      </c>
      <c r="K42" s="120">
        <f>SUM(K40:K41)</f>
        <v>11</v>
      </c>
      <c r="L42" s="120">
        <f>SUM(L40:L41)</f>
        <v>14</v>
      </c>
      <c r="M42" s="328">
        <f t="shared" si="21"/>
        <v>116</v>
      </c>
      <c r="N42" s="149">
        <f t="shared" si="3"/>
        <v>3.486624586714758E-2</v>
      </c>
      <c r="O42" s="72">
        <f t="shared" ref="O42:T42" si="22">SUM(O40:O41)</f>
        <v>20</v>
      </c>
      <c r="P42" s="72">
        <f t="shared" si="22"/>
        <v>18</v>
      </c>
      <c r="Q42" s="72">
        <f t="shared" si="22"/>
        <v>43</v>
      </c>
      <c r="R42" s="72">
        <f t="shared" si="22"/>
        <v>15</v>
      </c>
      <c r="S42" s="72">
        <f t="shared" si="22"/>
        <v>18</v>
      </c>
      <c r="T42" s="329">
        <f t="shared" si="22"/>
        <v>114</v>
      </c>
      <c r="U42" s="214">
        <f t="shared" si="0"/>
        <v>3.4265103697024346E-2</v>
      </c>
      <c r="V42" s="316">
        <f>SUM(V40:V41)</f>
        <v>18</v>
      </c>
      <c r="W42" s="316">
        <f t="shared" ref="W42:Z42" si="23">SUM(W40:W41)</f>
        <v>5</v>
      </c>
      <c r="X42" s="316">
        <f t="shared" si="23"/>
        <v>31</v>
      </c>
      <c r="Y42" s="316">
        <f>SUM(Y40:Y41)</f>
        <v>6</v>
      </c>
      <c r="Z42" s="316">
        <f t="shared" si="23"/>
        <v>3</v>
      </c>
      <c r="AA42" s="330">
        <f>SUM(AA40:AA41)</f>
        <v>63</v>
      </c>
      <c r="AB42" s="312">
        <f t="shared" si="1"/>
        <v>1.8935978358881875E-2</v>
      </c>
      <c r="AC42" s="115">
        <f>SUM(AC40:AC41)</f>
        <v>15</v>
      </c>
      <c r="AD42" s="132">
        <f>SUM(AD40:AD41)</f>
        <v>9</v>
      </c>
      <c r="AE42" s="132">
        <f>SUM(AE40:AE41)</f>
        <v>433</v>
      </c>
    </row>
    <row r="43" spans="1:32" ht="15.75" thickBot="1" x14ac:dyDescent="0.3">
      <c r="A43" s="134" t="s">
        <v>49</v>
      </c>
      <c r="B43" s="310">
        <f>B11+B25+B37+B42</f>
        <v>214208</v>
      </c>
      <c r="C43" s="321">
        <f>C11+C25+C37+C42</f>
        <v>112717</v>
      </c>
      <c r="D43" s="311">
        <f>D11+D25+D37+D42</f>
        <v>195882</v>
      </c>
      <c r="E43" s="322">
        <f>SUM(B43:D43)</f>
        <v>522807</v>
      </c>
      <c r="F43" s="322">
        <f t="shared" ref="F43:M43" si="24">F11+F25+F37+F42</f>
        <v>166035</v>
      </c>
      <c r="G43" s="309">
        <f t="shared" si="24"/>
        <v>893517</v>
      </c>
      <c r="H43" s="139">
        <f t="shared" si="24"/>
        <v>192</v>
      </c>
      <c r="I43" s="139">
        <f t="shared" si="24"/>
        <v>132</v>
      </c>
      <c r="J43" s="139">
        <f t="shared" si="24"/>
        <v>282</v>
      </c>
      <c r="K43" s="139">
        <f>K11+K25+K37+K42</f>
        <v>159</v>
      </c>
      <c r="L43" s="139">
        <f t="shared" si="24"/>
        <v>90</v>
      </c>
      <c r="M43" s="141">
        <f t="shared" si="24"/>
        <v>855</v>
      </c>
      <c r="N43" s="146">
        <f t="shared" si="3"/>
        <v>9.5689281793183562E-2</v>
      </c>
      <c r="O43" s="147">
        <f t="shared" ref="O43:T43" si="25">O11+O25+O37+O42</f>
        <v>276</v>
      </c>
      <c r="P43" s="148">
        <f t="shared" si="25"/>
        <v>160</v>
      </c>
      <c r="Q43" s="148">
        <f t="shared" si="25"/>
        <v>421</v>
      </c>
      <c r="R43" s="148">
        <f>R11+R25+R37+R42</f>
        <v>305</v>
      </c>
      <c r="S43" s="148">
        <f t="shared" si="25"/>
        <v>195</v>
      </c>
      <c r="T43" s="148">
        <f t="shared" si="25"/>
        <v>1357</v>
      </c>
      <c r="U43" s="94">
        <f t="shared" si="0"/>
        <v>0.15187176069397673</v>
      </c>
      <c r="V43" s="148">
        <f t="shared" ref="V43:AA43" si="26">V11+V25+V37+V42</f>
        <v>259</v>
      </c>
      <c r="W43" s="148">
        <f t="shared" si="26"/>
        <v>35</v>
      </c>
      <c r="X43" s="148">
        <f t="shared" si="26"/>
        <v>255</v>
      </c>
      <c r="Y43" s="148">
        <f t="shared" si="26"/>
        <v>77</v>
      </c>
      <c r="Z43" s="148">
        <f t="shared" si="26"/>
        <v>69</v>
      </c>
      <c r="AA43" s="148">
        <f t="shared" si="26"/>
        <v>695</v>
      </c>
      <c r="AB43" s="106">
        <f t="shared" si="1"/>
        <v>7.778251560966383E-2</v>
      </c>
      <c r="AC43" s="140">
        <f>AC11+AC25+AC37+AC42</f>
        <v>322</v>
      </c>
      <c r="AD43" s="324">
        <f>AD11+AD25+AD37+AD42</f>
        <v>96</v>
      </c>
      <c r="AE43" s="140">
        <f>AE11+AE25+AE37+AE42</f>
        <v>4990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J46"/>
  <sheetViews>
    <sheetView topLeftCell="A16" zoomScale="80" zoomScaleNormal="80" workbookViewId="0">
      <selection activeCell="G11" sqref="G11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488" customFormat="1" ht="18" x14ac:dyDescent="0.25">
      <c r="A1" s="730" t="s">
        <v>122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488" customFormat="1" ht="9" customHeight="1" thickBot="1" x14ac:dyDescent="0.3"/>
    <row r="3" spans="1:36" ht="66" customHeight="1" thickTop="1" thickBot="1" x14ac:dyDescent="0.25">
      <c r="A3" s="756" t="s">
        <v>24</v>
      </c>
      <c r="B3" s="758" t="s">
        <v>0</v>
      </c>
      <c r="C3" s="759"/>
      <c r="D3" s="759"/>
      <c r="E3" s="759"/>
      <c r="F3" s="759"/>
      <c r="G3" s="760"/>
      <c r="H3" s="761" t="s">
        <v>33</v>
      </c>
      <c r="I3" s="762"/>
      <c r="J3" s="762"/>
      <c r="K3" s="762"/>
      <c r="L3" s="762"/>
      <c r="M3" s="763"/>
      <c r="N3" s="36" t="s">
        <v>40</v>
      </c>
      <c r="O3" s="764" t="s">
        <v>42</v>
      </c>
      <c r="P3" s="765"/>
      <c r="Q3" s="765"/>
      <c r="R3" s="765"/>
      <c r="S3" s="765"/>
      <c r="T3" s="763"/>
      <c r="U3" s="766" t="s">
        <v>43</v>
      </c>
      <c r="V3" s="770" t="s">
        <v>123</v>
      </c>
      <c r="W3" s="771"/>
      <c r="X3" s="771"/>
      <c r="Y3" s="771"/>
      <c r="Z3" s="772"/>
      <c r="AA3" s="493" t="s">
        <v>45</v>
      </c>
      <c r="AB3" s="768" t="s">
        <v>43</v>
      </c>
      <c r="AC3" s="493" t="s">
        <v>46</v>
      </c>
      <c r="AD3" s="536" t="s">
        <v>47</v>
      </c>
      <c r="AE3" s="537" t="s">
        <v>48</v>
      </c>
      <c r="AF3" s="112"/>
      <c r="AG3" s="112"/>
      <c r="AH3" s="112"/>
      <c r="AI3" s="112"/>
      <c r="AJ3" s="112"/>
    </row>
    <row r="4" spans="1:36" ht="14.25" thickTop="1" thickBot="1" x14ac:dyDescent="0.25">
      <c r="A4" s="757"/>
      <c r="B4" s="494" t="s">
        <v>29</v>
      </c>
      <c r="C4" s="495" t="s">
        <v>30</v>
      </c>
      <c r="D4" s="495" t="s">
        <v>36</v>
      </c>
      <c r="E4" s="495" t="s">
        <v>31</v>
      </c>
      <c r="F4" s="495" t="s">
        <v>32</v>
      </c>
      <c r="G4" s="498" t="s">
        <v>21</v>
      </c>
      <c r="H4" s="496" t="s">
        <v>29</v>
      </c>
      <c r="I4" s="497" t="s">
        <v>30</v>
      </c>
      <c r="J4" s="497" t="s">
        <v>37</v>
      </c>
      <c r="K4" s="497" t="s">
        <v>34</v>
      </c>
      <c r="L4" s="497" t="s">
        <v>32</v>
      </c>
      <c r="M4" s="499" t="s">
        <v>21</v>
      </c>
      <c r="N4" s="37"/>
      <c r="O4" s="497" t="s">
        <v>29</v>
      </c>
      <c r="P4" s="497" t="s">
        <v>30</v>
      </c>
      <c r="Q4" s="497" t="s">
        <v>36</v>
      </c>
      <c r="R4" s="497" t="s">
        <v>31</v>
      </c>
      <c r="S4" s="497" t="s">
        <v>32</v>
      </c>
      <c r="T4" s="499" t="s">
        <v>21</v>
      </c>
      <c r="U4" s="767"/>
      <c r="V4" s="490" t="s">
        <v>29</v>
      </c>
      <c r="W4" s="491" t="s">
        <v>30</v>
      </c>
      <c r="X4" s="489" t="s">
        <v>37</v>
      </c>
      <c r="Y4" s="491" t="s">
        <v>34</v>
      </c>
      <c r="Z4" s="489" t="s">
        <v>32</v>
      </c>
      <c r="AA4" s="492" t="s">
        <v>21</v>
      </c>
      <c r="AB4" s="769"/>
      <c r="AC4" s="500" t="s">
        <v>21</v>
      </c>
      <c r="AD4" s="502" t="s">
        <v>21</v>
      </c>
      <c r="AE4" s="501" t="s">
        <v>21</v>
      </c>
    </row>
    <row r="5" spans="1:36" ht="16.5" thickTop="1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503" t="s">
        <v>1</v>
      </c>
      <c r="B6" s="504">
        <v>92</v>
      </c>
      <c r="C6" s="504">
        <v>36</v>
      </c>
      <c r="D6" s="504">
        <v>102</v>
      </c>
      <c r="E6" s="504">
        <v>99</v>
      </c>
      <c r="F6" s="504">
        <v>36</v>
      </c>
      <c r="G6" s="505">
        <f>SUM(B6:F6)</f>
        <v>365</v>
      </c>
      <c r="H6" s="506">
        <v>0</v>
      </c>
      <c r="I6" s="506">
        <v>0</v>
      </c>
      <c r="J6" s="506">
        <v>0</v>
      </c>
      <c r="K6" s="506">
        <v>0</v>
      </c>
      <c r="L6" s="507">
        <v>0</v>
      </c>
      <c r="M6" s="508">
        <f>SUM(H6:L6)</f>
        <v>0</v>
      </c>
      <c r="N6" s="106">
        <f>M6*100/G6</f>
        <v>0</v>
      </c>
      <c r="O6" s="506">
        <v>1</v>
      </c>
      <c r="P6" s="506">
        <v>0</v>
      </c>
      <c r="Q6" s="506">
        <v>4</v>
      </c>
      <c r="R6" s="506">
        <v>1</v>
      </c>
      <c r="S6" s="506">
        <v>0</v>
      </c>
      <c r="T6" s="508">
        <f>SUM(O6:S6)</f>
        <v>6</v>
      </c>
      <c r="U6" s="94">
        <f>T6*100/G6</f>
        <v>1.6438356164383561</v>
      </c>
      <c r="V6" s="506">
        <v>0</v>
      </c>
      <c r="W6" s="506">
        <v>0</v>
      </c>
      <c r="X6" s="506">
        <v>3</v>
      </c>
      <c r="Y6" s="506">
        <v>0</v>
      </c>
      <c r="Z6" s="506">
        <v>0</v>
      </c>
      <c r="AA6" s="507">
        <f>SUM(V6:Z6)</f>
        <v>3</v>
      </c>
      <c r="AB6" s="106">
        <f>AA6*100/G6</f>
        <v>0.82191780821917804</v>
      </c>
      <c r="AC6" s="508">
        <f>0+0+0+0+0</f>
        <v>0</v>
      </c>
      <c r="AD6" s="508">
        <f>0+0+0+0+0</f>
        <v>0</v>
      </c>
      <c r="AE6" s="508">
        <f>5+0+9+1+0</f>
        <v>15</v>
      </c>
    </row>
    <row r="7" spans="1:36" ht="15" thickBot="1" x14ac:dyDescent="0.25">
      <c r="A7" s="509" t="s">
        <v>2</v>
      </c>
      <c r="B7" s="504">
        <v>544</v>
      </c>
      <c r="C7" s="504">
        <v>190</v>
      </c>
      <c r="D7" s="504">
        <v>785</v>
      </c>
      <c r="E7" s="504">
        <v>671</v>
      </c>
      <c r="F7" s="504">
        <v>240</v>
      </c>
      <c r="G7" s="505">
        <f>SUM(B7:F7)</f>
        <v>2430</v>
      </c>
      <c r="H7" s="506">
        <v>2</v>
      </c>
      <c r="I7" s="506">
        <v>1</v>
      </c>
      <c r="J7" s="506">
        <v>3</v>
      </c>
      <c r="K7" s="506">
        <v>1</v>
      </c>
      <c r="L7" s="507">
        <v>0</v>
      </c>
      <c r="M7" s="507">
        <f>SUM(H7:L7)</f>
        <v>7</v>
      </c>
      <c r="N7" s="106">
        <f>M7*100/G7</f>
        <v>0.2880658436213992</v>
      </c>
      <c r="O7" s="506">
        <v>3</v>
      </c>
      <c r="P7" s="506">
        <v>5</v>
      </c>
      <c r="Q7" s="506">
        <v>6</v>
      </c>
      <c r="R7" s="506">
        <v>10</v>
      </c>
      <c r="S7" s="506">
        <v>0</v>
      </c>
      <c r="T7" s="507">
        <f>SUM(O7:S7)</f>
        <v>24</v>
      </c>
      <c r="U7" s="94">
        <f>T7*100/G7</f>
        <v>0.98765432098765427</v>
      </c>
      <c r="V7" s="506">
        <v>2</v>
      </c>
      <c r="W7" s="506">
        <v>1</v>
      </c>
      <c r="X7" s="506">
        <v>18</v>
      </c>
      <c r="Y7" s="506">
        <v>2</v>
      </c>
      <c r="Z7" s="506">
        <v>3</v>
      </c>
      <c r="AA7" s="507">
        <f>SUM(V7:Z7)</f>
        <v>26</v>
      </c>
      <c r="AB7" s="106">
        <f>AA7*100/G7</f>
        <v>1.0699588477366255</v>
      </c>
      <c r="AC7" s="508">
        <f>0+1+1+0+2</f>
        <v>4</v>
      </c>
      <c r="AD7" s="508">
        <f>0+0+1+0+0</f>
        <v>1</v>
      </c>
      <c r="AE7" s="508">
        <f>12+8+37+5+6</f>
        <v>68</v>
      </c>
    </row>
    <row r="8" spans="1:36" ht="15" thickBot="1" x14ac:dyDescent="0.25">
      <c r="A8" s="509" t="s">
        <v>14</v>
      </c>
      <c r="B8" s="504">
        <v>55</v>
      </c>
      <c r="C8" s="504">
        <v>40</v>
      </c>
      <c r="D8" s="504">
        <v>75</v>
      </c>
      <c r="E8" s="504">
        <v>90</v>
      </c>
      <c r="F8" s="504">
        <v>45</v>
      </c>
      <c r="G8" s="505">
        <f>SUM(B8:F8)</f>
        <v>305</v>
      </c>
      <c r="H8" s="506">
        <v>0</v>
      </c>
      <c r="I8" s="506">
        <v>0</v>
      </c>
      <c r="J8" s="506">
        <v>0</v>
      </c>
      <c r="K8" s="506">
        <v>0</v>
      </c>
      <c r="L8" s="507">
        <v>0</v>
      </c>
      <c r="M8" s="508">
        <f>SUM(H8:L8)</f>
        <v>0</v>
      </c>
      <c r="N8" s="106">
        <f>M8*100/G8</f>
        <v>0</v>
      </c>
      <c r="O8" s="506">
        <v>0</v>
      </c>
      <c r="P8" s="506">
        <v>0</v>
      </c>
      <c r="Q8" s="506">
        <v>0</v>
      </c>
      <c r="R8" s="506">
        <v>1</v>
      </c>
      <c r="S8" s="506">
        <v>0</v>
      </c>
      <c r="T8" s="508">
        <f>SUM(O8:S8)</f>
        <v>1</v>
      </c>
      <c r="U8" s="94">
        <f t="shared" ref="U8:U43" si="0">T8*100/G8</f>
        <v>0.32786885245901637</v>
      </c>
      <c r="V8" s="506">
        <v>0</v>
      </c>
      <c r="W8" s="506">
        <v>0</v>
      </c>
      <c r="X8" s="506">
        <v>3</v>
      </c>
      <c r="Y8" s="506">
        <v>0</v>
      </c>
      <c r="Z8" s="506">
        <v>0</v>
      </c>
      <c r="AA8" s="507">
        <f>SUM(V8:Z8)</f>
        <v>3</v>
      </c>
      <c r="AB8" s="106">
        <f t="shared" ref="AB8:AB43" si="1">AA8*100/G8</f>
        <v>0.98360655737704916</v>
      </c>
      <c r="AC8" s="508">
        <f>0+0+0+0+0</f>
        <v>0</v>
      </c>
      <c r="AD8" s="508">
        <f>0+0+0+0+0</f>
        <v>0</v>
      </c>
      <c r="AE8" s="508">
        <f>1+0+5+0+0</f>
        <v>6</v>
      </c>
    </row>
    <row r="9" spans="1:36" ht="15" thickBot="1" x14ac:dyDescent="0.25">
      <c r="A9" s="509" t="s">
        <v>3</v>
      </c>
      <c r="B9" s="504">
        <v>94</v>
      </c>
      <c r="C9" s="504">
        <v>74</v>
      </c>
      <c r="D9" s="504">
        <v>148</v>
      </c>
      <c r="E9" s="504">
        <v>134</v>
      </c>
      <c r="F9" s="504">
        <v>38</v>
      </c>
      <c r="G9" s="505">
        <f>SUM(B9:F9)</f>
        <v>488</v>
      </c>
      <c r="H9" s="506">
        <v>0</v>
      </c>
      <c r="I9" s="506">
        <v>1</v>
      </c>
      <c r="J9" s="506">
        <v>1</v>
      </c>
      <c r="K9" s="506">
        <v>0</v>
      </c>
      <c r="L9" s="507">
        <v>0</v>
      </c>
      <c r="M9" s="507">
        <f>SUM(H9:L9)</f>
        <v>2</v>
      </c>
      <c r="N9" s="106">
        <f>M9*100/G9</f>
        <v>0.4098360655737705</v>
      </c>
      <c r="O9" s="506">
        <v>0</v>
      </c>
      <c r="P9" s="506">
        <v>0</v>
      </c>
      <c r="Q9" s="506">
        <v>1</v>
      </c>
      <c r="R9" s="506">
        <v>1</v>
      </c>
      <c r="S9" s="506">
        <v>0</v>
      </c>
      <c r="T9" s="507">
        <f>SUM(O9:S9)</f>
        <v>2</v>
      </c>
      <c r="U9" s="94">
        <f t="shared" si="0"/>
        <v>0.4098360655737705</v>
      </c>
      <c r="V9" s="506">
        <v>0</v>
      </c>
      <c r="W9" s="506">
        <v>0</v>
      </c>
      <c r="X9" s="506">
        <v>0</v>
      </c>
      <c r="Y9" s="506">
        <v>0</v>
      </c>
      <c r="Z9" s="506">
        <v>0</v>
      </c>
      <c r="AA9" s="507">
        <f>SUM(V9:Z9)</f>
        <v>0</v>
      </c>
      <c r="AB9" s="106">
        <f t="shared" si="1"/>
        <v>0</v>
      </c>
      <c r="AC9" s="508">
        <f>0+0+0+1+0+0</f>
        <v>1</v>
      </c>
      <c r="AD9" s="508">
        <f>0+0+0+0+0</f>
        <v>0</v>
      </c>
      <c r="AE9" s="508">
        <f>7+0+4+0+0</f>
        <v>11</v>
      </c>
    </row>
    <row r="10" spans="1:36" ht="24.75" thickBot="1" x14ac:dyDescent="0.25">
      <c r="A10" s="510" t="s">
        <v>23</v>
      </c>
      <c r="B10" s="504">
        <v>584</v>
      </c>
      <c r="C10" s="504">
        <v>230</v>
      </c>
      <c r="D10" s="504">
        <v>867</v>
      </c>
      <c r="E10" s="504">
        <v>888</v>
      </c>
      <c r="F10" s="504">
        <v>306</v>
      </c>
      <c r="G10" s="505">
        <f>SUM(B10:F10)</f>
        <v>2875</v>
      </c>
      <c r="H10" s="506">
        <v>0</v>
      </c>
      <c r="I10" s="506">
        <v>4</v>
      </c>
      <c r="J10" s="506">
        <v>0</v>
      </c>
      <c r="K10" s="506">
        <v>2</v>
      </c>
      <c r="L10" s="507">
        <v>0</v>
      </c>
      <c r="M10" s="507">
        <f>SUM(H10:L10)</f>
        <v>6</v>
      </c>
      <c r="N10" s="106">
        <f>M10*100/G10</f>
        <v>0.20869565217391303</v>
      </c>
      <c r="O10" s="506">
        <v>1</v>
      </c>
      <c r="P10" s="506">
        <v>4</v>
      </c>
      <c r="Q10" s="506">
        <v>0</v>
      </c>
      <c r="R10" s="506">
        <v>7</v>
      </c>
      <c r="S10" s="506">
        <v>0</v>
      </c>
      <c r="T10" s="511">
        <f>SUM(O10:S10)</f>
        <v>12</v>
      </c>
      <c r="U10" s="94">
        <f t="shared" si="0"/>
        <v>0.41739130434782606</v>
      </c>
      <c r="V10" s="506">
        <v>0</v>
      </c>
      <c r="W10" s="506">
        <v>2</v>
      </c>
      <c r="X10" s="506">
        <v>6</v>
      </c>
      <c r="Y10" s="506">
        <v>0</v>
      </c>
      <c r="Z10" s="506">
        <v>1</v>
      </c>
      <c r="AA10" s="507">
        <f>SUM(V10:Z10)</f>
        <v>9</v>
      </c>
      <c r="AB10" s="106">
        <f t="shared" si="1"/>
        <v>0.31304347826086959</v>
      </c>
      <c r="AC10" s="508">
        <f>0+0+1+1+2</f>
        <v>4</v>
      </c>
      <c r="AD10" s="508">
        <f>1+1+0+1+0</f>
        <v>3</v>
      </c>
      <c r="AE10" s="508">
        <f>3+3+15+9+21</f>
        <v>51</v>
      </c>
    </row>
    <row r="11" spans="1:36" ht="15.75" thickBot="1" x14ac:dyDescent="0.3">
      <c r="A11" s="512" t="s">
        <v>21</v>
      </c>
      <c r="B11" s="513">
        <f>SUM(B6:B10)</f>
        <v>1369</v>
      </c>
      <c r="C11" s="513">
        <f>SUM(C6:C10)</f>
        <v>570</v>
      </c>
      <c r="D11" s="513">
        <f>SUM(D6:D10)</f>
        <v>1977</v>
      </c>
      <c r="E11" s="513">
        <f>SUM(E6:E10)</f>
        <v>1882</v>
      </c>
      <c r="F11" s="513">
        <f>SUM(F6:F10)</f>
        <v>665</v>
      </c>
      <c r="G11" s="514">
        <f t="shared" ref="G11:M11" si="2">SUM(G6:G10)</f>
        <v>6463</v>
      </c>
      <c r="H11" s="514">
        <f>SUM(H6:H10)</f>
        <v>2</v>
      </c>
      <c r="I11" s="514">
        <f>SUM(I6:I10)</f>
        <v>6</v>
      </c>
      <c r="J11" s="514">
        <f t="shared" si="2"/>
        <v>4</v>
      </c>
      <c r="K11" s="514">
        <f t="shared" si="2"/>
        <v>3</v>
      </c>
      <c r="L11" s="514">
        <f t="shared" si="2"/>
        <v>0</v>
      </c>
      <c r="M11" s="326">
        <f t="shared" si="2"/>
        <v>15</v>
      </c>
      <c r="N11" s="515">
        <f t="shared" ref="N11:N43" si="3">M11*100/G11</f>
        <v>0.23209036051369333</v>
      </c>
      <c r="O11" s="516">
        <f>SUM(O6:O10)</f>
        <v>5</v>
      </c>
      <c r="P11" s="516">
        <f t="shared" ref="P11:T11" si="4">SUM(P6:P10)</f>
        <v>9</v>
      </c>
      <c r="Q11" s="516">
        <f t="shared" si="4"/>
        <v>11</v>
      </c>
      <c r="R11" s="516">
        <f>SUM(R6:R10)</f>
        <v>20</v>
      </c>
      <c r="S11" s="516">
        <f t="shared" si="4"/>
        <v>0</v>
      </c>
      <c r="T11" s="326">
        <f t="shared" si="4"/>
        <v>45</v>
      </c>
      <c r="U11" s="94">
        <f t="shared" si="0"/>
        <v>0.69627108154107997</v>
      </c>
      <c r="V11" s="516">
        <f t="shared" ref="V11:AA11" si="5">SUM(V6:V10)</f>
        <v>2</v>
      </c>
      <c r="W11" s="516">
        <f t="shared" si="5"/>
        <v>3</v>
      </c>
      <c r="X11" s="516">
        <f t="shared" si="5"/>
        <v>30</v>
      </c>
      <c r="Y11" s="516">
        <f>SUM(Y6:Y10)</f>
        <v>2</v>
      </c>
      <c r="Z11" s="516">
        <f t="shared" si="5"/>
        <v>4</v>
      </c>
      <c r="AA11" s="327">
        <f t="shared" si="5"/>
        <v>41</v>
      </c>
      <c r="AB11" s="106">
        <f t="shared" si="1"/>
        <v>0.63438031873742839</v>
      </c>
      <c r="AC11" s="132">
        <f>SUM(AC6:AC10)</f>
        <v>9</v>
      </c>
      <c r="AD11" s="115">
        <f>SUM(AD6:AD10)</f>
        <v>4</v>
      </c>
      <c r="AE11" s="115">
        <f>SUM(AE6:AE10)</f>
        <v>151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90"/>
      <c r="O13" s="54"/>
      <c r="P13" s="54"/>
      <c r="Q13" s="54"/>
      <c r="R13" s="54"/>
      <c r="S13" s="54"/>
      <c r="T13" s="86"/>
      <c r="U13" s="151"/>
      <c r="AA13" s="99"/>
      <c r="AC13" s="99"/>
      <c r="AD13" s="99"/>
      <c r="AE13" s="99"/>
    </row>
    <row r="14" spans="1:36" ht="15" thickBot="1" x14ac:dyDescent="0.25">
      <c r="A14" s="503" t="s">
        <v>4</v>
      </c>
      <c r="B14" s="504">
        <v>15</v>
      </c>
      <c r="C14" s="504">
        <v>4</v>
      </c>
      <c r="D14" s="504">
        <v>26</v>
      </c>
      <c r="E14" s="504">
        <v>27</v>
      </c>
      <c r="F14" s="504">
        <v>8</v>
      </c>
      <c r="G14" s="505">
        <f>SUM(B14:F14)</f>
        <v>80</v>
      </c>
      <c r="H14" s="506">
        <v>0</v>
      </c>
      <c r="I14" s="506">
        <f>Detmold14!C14</f>
        <v>0</v>
      </c>
      <c r="J14" s="506">
        <f>Düsseldorf14!C14</f>
        <v>0</v>
      </c>
      <c r="K14" s="506">
        <v>0</v>
      </c>
      <c r="L14" s="507">
        <f>Münster14!C14</f>
        <v>0</v>
      </c>
      <c r="M14" s="508">
        <f>SUM(H14:L14)</f>
        <v>0</v>
      </c>
      <c r="N14" s="106">
        <f t="shared" si="3"/>
        <v>0</v>
      </c>
      <c r="O14" s="506">
        <v>0</v>
      </c>
      <c r="P14" s="506">
        <v>0</v>
      </c>
      <c r="Q14" s="506">
        <v>0</v>
      </c>
      <c r="R14" s="506">
        <v>0</v>
      </c>
      <c r="S14" s="506">
        <v>0</v>
      </c>
      <c r="T14" s="507">
        <f>SUM(O14:S14)</f>
        <v>0</v>
      </c>
      <c r="U14" s="94">
        <f t="shared" si="0"/>
        <v>0</v>
      </c>
      <c r="V14" s="506">
        <v>0</v>
      </c>
      <c r="W14" s="506">
        <f>Detmold14!E14</f>
        <v>0</v>
      </c>
      <c r="X14" s="506">
        <v>0</v>
      </c>
      <c r="Y14" s="506">
        <v>0</v>
      </c>
      <c r="Z14" s="506">
        <v>0</v>
      </c>
      <c r="AA14" s="508">
        <f>SUM(V14:Z14)</f>
        <v>0</v>
      </c>
      <c r="AB14" s="106">
        <f t="shared" si="1"/>
        <v>0</v>
      </c>
      <c r="AC14" s="508">
        <f>Arnsberg14!F14+Detmold14!F14+Düsseldorf14!F14+Kölle14!F14+Münster14!F14</f>
        <v>0</v>
      </c>
      <c r="AD14" s="508">
        <v>0</v>
      </c>
      <c r="AE14" s="508">
        <v>0</v>
      </c>
    </row>
    <row r="15" spans="1:36" ht="15" thickBot="1" x14ac:dyDescent="0.25">
      <c r="A15" s="503" t="s">
        <v>5</v>
      </c>
      <c r="B15" s="504">
        <v>197</v>
      </c>
      <c r="C15" s="504">
        <v>63</v>
      </c>
      <c r="D15" s="504">
        <v>310</v>
      </c>
      <c r="E15" s="504">
        <v>357</v>
      </c>
      <c r="F15" s="504">
        <v>115</v>
      </c>
      <c r="G15" s="505">
        <f t="shared" ref="G15:G24" si="6">SUM(B15:F15)</f>
        <v>1042</v>
      </c>
      <c r="H15" s="506">
        <v>1</v>
      </c>
      <c r="I15" s="506">
        <f>Detmold14!C15</f>
        <v>0</v>
      </c>
      <c r="J15" s="506">
        <v>0</v>
      </c>
      <c r="K15" s="506">
        <v>3</v>
      </c>
      <c r="L15" s="507">
        <v>0</v>
      </c>
      <c r="M15" s="507">
        <f>SUM(H15:L15)</f>
        <v>4</v>
      </c>
      <c r="N15" s="106">
        <f t="shared" si="3"/>
        <v>0.38387715930902111</v>
      </c>
      <c r="O15" s="506">
        <v>3</v>
      </c>
      <c r="P15" s="506">
        <v>0</v>
      </c>
      <c r="Q15" s="506">
        <v>3</v>
      </c>
      <c r="R15" s="506">
        <v>3</v>
      </c>
      <c r="S15" s="506">
        <v>0</v>
      </c>
      <c r="T15" s="507">
        <f>SUM(O15:S15)</f>
        <v>9</v>
      </c>
      <c r="U15" s="94">
        <f t="shared" si="0"/>
        <v>0.8637236084452975</v>
      </c>
      <c r="V15" s="506">
        <v>1</v>
      </c>
      <c r="W15" s="506">
        <f>Detmold14!E15</f>
        <v>0</v>
      </c>
      <c r="X15" s="506">
        <v>0</v>
      </c>
      <c r="Y15" s="506">
        <v>1</v>
      </c>
      <c r="Z15" s="506">
        <f>Münster14!E15</f>
        <v>0</v>
      </c>
      <c r="AA15" s="507">
        <f>SUM(V15:Z15)</f>
        <v>2</v>
      </c>
      <c r="AB15" s="106">
        <f t="shared" si="1"/>
        <v>0.19193857965451055</v>
      </c>
      <c r="AC15" s="508">
        <v>0</v>
      </c>
      <c r="AD15" s="508">
        <f>0+0+1+0+1</f>
        <v>2</v>
      </c>
      <c r="AE15" s="508">
        <f>5+1+15+9+5</f>
        <v>35</v>
      </c>
    </row>
    <row r="16" spans="1:36" ht="15" thickBot="1" x14ac:dyDescent="0.25">
      <c r="A16" s="503" t="s">
        <v>6</v>
      </c>
      <c r="B16" s="517">
        <v>33</v>
      </c>
      <c r="C16" s="504">
        <v>19</v>
      </c>
      <c r="D16" s="504">
        <v>75</v>
      </c>
      <c r="E16" s="504">
        <v>60</v>
      </c>
      <c r="F16" s="504">
        <v>25</v>
      </c>
      <c r="G16" s="505">
        <f t="shared" si="6"/>
        <v>212</v>
      </c>
      <c r="H16" s="506">
        <v>0</v>
      </c>
      <c r="I16" s="506">
        <f>Detmold14!C16</f>
        <v>0</v>
      </c>
      <c r="J16" s="506">
        <f>Düsseldorf14!C16</f>
        <v>0</v>
      </c>
      <c r="K16" s="506">
        <v>0</v>
      </c>
      <c r="L16" s="507">
        <f>Münster14!C16</f>
        <v>0</v>
      </c>
      <c r="M16" s="508">
        <f t="shared" ref="M16:M20" si="7">SUM(H16:L16)</f>
        <v>0</v>
      </c>
      <c r="N16" s="106">
        <f t="shared" si="3"/>
        <v>0</v>
      </c>
      <c r="O16" s="506">
        <v>0</v>
      </c>
      <c r="P16" s="506">
        <v>0</v>
      </c>
      <c r="Q16" s="506">
        <v>1</v>
      </c>
      <c r="R16" s="506">
        <v>3</v>
      </c>
      <c r="S16" s="506">
        <f>Münster14!D16</f>
        <v>0</v>
      </c>
      <c r="T16" s="507">
        <f>SUM(O16:S16)</f>
        <v>4</v>
      </c>
      <c r="U16" s="94">
        <f t="shared" si="0"/>
        <v>1.8867924528301887</v>
      </c>
      <c r="V16" s="506">
        <f>Arnsberg14!E16</f>
        <v>0</v>
      </c>
      <c r="W16" s="506">
        <f>Detmold14!E16</f>
        <v>0</v>
      </c>
      <c r="X16" s="506">
        <v>0</v>
      </c>
      <c r="Y16" s="506">
        <v>0</v>
      </c>
      <c r="Z16" s="506">
        <v>0</v>
      </c>
      <c r="AA16" s="507">
        <f>SUM(V16:Z16)</f>
        <v>0</v>
      </c>
      <c r="AB16" s="106">
        <f t="shared" si="1"/>
        <v>0</v>
      </c>
      <c r="AC16" s="508">
        <f>Arnsberg14!F16+Detmold14!F16+Düsseldorf14!F16+Kölle14!F16+Münster14!F16</f>
        <v>0</v>
      </c>
      <c r="AD16" s="508">
        <v>0</v>
      </c>
      <c r="AE16" s="508">
        <v>0</v>
      </c>
    </row>
    <row r="17" spans="1:34" ht="15" thickBot="1" x14ac:dyDescent="0.25">
      <c r="A17" s="503" t="s">
        <v>7</v>
      </c>
      <c r="B17" s="504">
        <v>26</v>
      </c>
      <c r="C17" s="504">
        <v>5</v>
      </c>
      <c r="D17" s="504">
        <v>39</v>
      </c>
      <c r="E17" s="504">
        <v>14</v>
      </c>
      <c r="F17" s="504">
        <v>26</v>
      </c>
      <c r="G17" s="505">
        <f t="shared" si="6"/>
        <v>110</v>
      </c>
      <c r="H17" s="506">
        <v>0</v>
      </c>
      <c r="I17" s="506">
        <f>Detmold14!C17</f>
        <v>0</v>
      </c>
      <c r="J17" s="506">
        <v>0</v>
      </c>
      <c r="K17" s="506">
        <v>0</v>
      </c>
      <c r="L17" s="507">
        <f>Münster14!C17</f>
        <v>0</v>
      </c>
      <c r="M17" s="507">
        <f>SUM(H17:L17)</f>
        <v>0</v>
      </c>
      <c r="N17" s="106">
        <f t="shared" si="3"/>
        <v>0</v>
      </c>
      <c r="O17" s="506">
        <v>0</v>
      </c>
      <c r="P17" s="506">
        <v>0</v>
      </c>
      <c r="Q17" s="506">
        <v>0</v>
      </c>
      <c r="R17" s="506">
        <v>0</v>
      </c>
      <c r="S17" s="506">
        <f>Münster14!D17</f>
        <v>0</v>
      </c>
      <c r="T17" s="507">
        <f>SUM(O17:S17)</f>
        <v>0</v>
      </c>
      <c r="U17" s="94">
        <f t="shared" si="0"/>
        <v>0</v>
      </c>
      <c r="V17" s="506">
        <f>Arnsberg14!E17</f>
        <v>0</v>
      </c>
      <c r="W17" s="506">
        <f>Detmold14!E17</f>
        <v>0</v>
      </c>
      <c r="X17" s="506">
        <v>0</v>
      </c>
      <c r="Y17" s="506">
        <v>0</v>
      </c>
      <c r="Z17" s="506">
        <f>Münster14!E17</f>
        <v>0</v>
      </c>
      <c r="AA17" s="508">
        <f t="shared" ref="AA17:AA20" si="8">SUM(V17:Z17)</f>
        <v>0</v>
      </c>
      <c r="AB17" s="106">
        <f t="shared" si="1"/>
        <v>0</v>
      </c>
      <c r="AC17" s="508">
        <f>Arnsberg14!F17+Detmold14!F17+Düsseldorf14!F17+Kölle14!F17+Münster14!F17</f>
        <v>0</v>
      </c>
      <c r="AD17" s="508">
        <v>0</v>
      </c>
      <c r="AE17" s="508">
        <f>0+0+1+2+0</f>
        <v>3</v>
      </c>
    </row>
    <row r="18" spans="1:34" ht="15" thickBot="1" x14ac:dyDescent="0.25">
      <c r="A18" s="503" t="s">
        <v>8</v>
      </c>
      <c r="B18" s="504">
        <v>7</v>
      </c>
      <c r="C18" s="504">
        <v>3</v>
      </c>
      <c r="D18" s="504">
        <v>6</v>
      </c>
      <c r="E18" s="504">
        <v>9</v>
      </c>
      <c r="F18" s="504">
        <v>3</v>
      </c>
      <c r="G18" s="505">
        <f t="shared" si="6"/>
        <v>28</v>
      </c>
      <c r="H18" s="506">
        <v>0</v>
      </c>
      <c r="I18" s="506">
        <f>Detmold14!C18</f>
        <v>0</v>
      </c>
      <c r="J18" s="506">
        <f>Düsseldorf14!C18</f>
        <v>0</v>
      </c>
      <c r="K18" s="506">
        <v>0</v>
      </c>
      <c r="L18" s="507">
        <f>Münster14!C18</f>
        <v>0</v>
      </c>
      <c r="M18" s="507">
        <f>SUM(H18:L18)</f>
        <v>0</v>
      </c>
      <c r="N18" s="106">
        <f t="shared" si="3"/>
        <v>0</v>
      </c>
      <c r="O18" s="506">
        <v>0</v>
      </c>
      <c r="P18" s="506">
        <v>0</v>
      </c>
      <c r="Q18" s="506">
        <v>0</v>
      </c>
      <c r="R18" s="506">
        <v>0</v>
      </c>
      <c r="S18" s="506">
        <f>Münster14!D18</f>
        <v>0</v>
      </c>
      <c r="T18" s="508">
        <f t="shared" ref="T18:T20" si="9">SUM(O18:S18)</f>
        <v>0</v>
      </c>
      <c r="U18" s="94">
        <f t="shared" si="0"/>
        <v>0</v>
      </c>
      <c r="V18" s="506">
        <v>0</v>
      </c>
      <c r="W18" s="506">
        <f>Detmold14!E18</f>
        <v>0</v>
      </c>
      <c r="X18" s="506">
        <v>0</v>
      </c>
      <c r="Y18" s="506">
        <v>0</v>
      </c>
      <c r="Z18" s="506">
        <f>Münster14!E18</f>
        <v>0</v>
      </c>
      <c r="AA18" s="507">
        <f>SUM(V18:Z18)</f>
        <v>0</v>
      </c>
      <c r="AB18" s="106">
        <f t="shared" si="1"/>
        <v>0</v>
      </c>
      <c r="AC18" s="508">
        <f>Arnsberg14!F18+Detmold14!F18+Düsseldorf14!F18+Kölle14!F18+Münster14!F18</f>
        <v>0</v>
      </c>
      <c r="AD18" s="508">
        <v>0</v>
      </c>
      <c r="AE18" s="508">
        <v>0</v>
      </c>
    </row>
    <row r="19" spans="1:34" ht="15" thickBot="1" x14ac:dyDescent="0.25">
      <c r="A19" s="503" t="s">
        <v>9</v>
      </c>
      <c r="B19" s="504">
        <v>11</v>
      </c>
      <c r="C19" s="504">
        <v>5</v>
      </c>
      <c r="D19" s="504">
        <v>22</v>
      </c>
      <c r="E19" s="504">
        <v>8</v>
      </c>
      <c r="F19" s="504">
        <v>4</v>
      </c>
      <c r="G19" s="505">
        <f t="shared" si="6"/>
        <v>50</v>
      </c>
      <c r="H19" s="506">
        <v>0</v>
      </c>
      <c r="I19" s="506">
        <f>Detmold14!C19</f>
        <v>0</v>
      </c>
      <c r="J19" s="506">
        <v>0</v>
      </c>
      <c r="K19" s="506">
        <v>0</v>
      </c>
      <c r="L19" s="507">
        <f>Münster14!C19</f>
        <v>0</v>
      </c>
      <c r="M19" s="508">
        <f t="shared" si="7"/>
        <v>0</v>
      </c>
      <c r="N19" s="106">
        <f t="shared" si="3"/>
        <v>0</v>
      </c>
      <c r="O19" s="506">
        <v>0</v>
      </c>
      <c r="P19" s="506">
        <v>0</v>
      </c>
      <c r="Q19" s="506">
        <v>0</v>
      </c>
      <c r="R19" s="506">
        <v>0</v>
      </c>
      <c r="S19" s="506">
        <f>Münster14!D19</f>
        <v>0</v>
      </c>
      <c r="T19" s="508">
        <f t="shared" si="9"/>
        <v>0</v>
      </c>
      <c r="U19" s="94">
        <f t="shared" si="0"/>
        <v>0</v>
      </c>
      <c r="V19" s="506">
        <f>Arnsberg14!E19</f>
        <v>0</v>
      </c>
      <c r="W19" s="506">
        <f>Detmold14!E19</f>
        <v>0</v>
      </c>
      <c r="X19" s="506">
        <f>Düsseldorf14!E19</f>
        <v>0</v>
      </c>
      <c r="Y19" s="506">
        <f>Kölle14!E19</f>
        <v>0</v>
      </c>
      <c r="Z19" s="506">
        <f>Münster14!E19</f>
        <v>0</v>
      </c>
      <c r="AA19" s="508">
        <f t="shared" si="8"/>
        <v>0</v>
      </c>
      <c r="AB19" s="106">
        <f t="shared" si="1"/>
        <v>0</v>
      </c>
      <c r="AC19" s="508">
        <f>Arnsberg14!F19+Detmold14!F19+Düsseldorf14!F19+Kölle14!F19+Münster14!F19</f>
        <v>0</v>
      </c>
      <c r="AD19" s="508">
        <v>0</v>
      </c>
      <c r="AE19" s="508">
        <v>0</v>
      </c>
    </row>
    <row r="20" spans="1:34" ht="15" thickBot="1" x14ac:dyDescent="0.25">
      <c r="A20" s="503" t="s">
        <v>10</v>
      </c>
      <c r="B20" s="504">
        <v>7</v>
      </c>
      <c r="C20" s="504">
        <v>3</v>
      </c>
      <c r="D20" s="504">
        <v>9</v>
      </c>
      <c r="E20" s="504">
        <v>14</v>
      </c>
      <c r="F20" s="504">
        <v>1</v>
      </c>
      <c r="G20" s="505">
        <f t="shared" si="6"/>
        <v>34</v>
      </c>
      <c r="H20" s="506">
        <v>0</v>
      </c>
      <c r="I20" s="506">
        <f>Detmold14!C20</f>
        <v>0</v>
      </c>
      <c r="J20" s="506">
        <f>Düsseldorf14!C20</f>
        <v>0</v>
      </c>
      <c r="K20" s="506">
        <v>0</v>
      </c>
      <c r="L20" s="507">
        <f>Münster14!C20</f>
        <v>0</v>
      </c>
      <c r="M20" s="508">
        <f t="shared" si="7"/>
        <v>0</v>
      </c>
      <c r="N20" s="106">
        <f t="shared" si="3"/>
        <v>0</v>
      </c>
      <c r="O20" s="506">
        <v>0</v>
      </c>
      <c r="P20" s="506">
        <v>0</v>
      </c>
      <c r="Q20" s="506">
        <v>0</v>
      </c>
      <c r="R20" s="506">
        <v>0</v>
      </c>
      <c r="S20" s="506">
        <f>Münster14!D20</f>
        <v>0</v>
      </c>
      <c r="T20" s="508">
        <f t="shared" si="9"/>
        <v>0</v>
      </c>
      <c r="U20" s="94">
        <f t="shared" si="0"/>
        <v>0</v>
      </c>
      <c r="V20" s="506">
        <f>Arnsberg14!E20</f>
        <v>0</v>
      </c>
      <c r="W20" s="506">
        <f>Detmold14!E20</f>
        <v>0</v>
      </c>
      <c r="X20" s="506">
        <f>Düsseldorf14!E20</f>
        <v>0</v>
      </c>
      <c r="Y20" s="506">
        <v>1</v>
      </c>
      <c r="Z20" s="506">
        <f>Münster14!E20</f>
        <v>0</v>
      </c>
      <c r="AA20" s="508">
        <f t="shared" si="8"/>
        <v>1</v>
      </c>
      <c r="AB20" s="106">
        <f t="shared" si="1"/>
        <v>2.9411764705882355</v>
      </c>
      <c r="AC20" s="508">
        <f>Arnsberg14!F20+Detmold14!F20+Düsseldorf14!F20+Kölle14!F20+Münster14!F20</f>
        <v>0</v>
      </c>
      <c r="AD20" s="508">
        <v>0</v>
      </c>
      <c r="AE20" s="508">
        <v>0</v>
      </c>
    </row>
    <row r="21" spans="1:34" ht="15" thickBot="1" x14ac:dyDescent="0.25">
      <c r="A21" s="503" t="s">
        <v>11</v>
      </c>
      <c r="B21" s="504">
        <v>94</v>
      </c>
      <c r="C21" s="504">
        <v>18</v>
      </c>
      <c r="D21" s="504">
        <v>125</v>
      </c>
      <c r="E21" s="504">
        <v>158</v>
      </c>
      <c r="F21" s="504">
        <v>49</v>
      </c>
      <c r="G21" s="505">
        <f t="shared" si="6"/>
        <v>444</v>
      </c>
      <c r="H21" s="506">
        <v>0</v>
      </c>
      <c r="I21" s="506">
        <f>Detmold14!C21</f>
        <v>0</v>
      </c>
      <c r="J21" s="506">
        <v>0</v>
      </c>
      <c r="K21" s="506">
        <v>0</v>
      </c>
      <c r="L21" s="507">
        <v>0</v>
      </c>
      <c r="M21" s="507">
        <f>SUM(H21:L21)</f>
        <v>0</v>
      </c>
      <c r="N21" s="106">
        <f t="shared" si="3"/>
        <v>0</v>
      </c>
      <c r="O21" s="506">
        <v>3</v>
      </c>
      <c r="P21" s="506">
        <v>0</v>
      </c>
      <c r="Q21" s="506">
        <v>1</v>
      </c>
      <c r="R21" s="506">
        <v>2</v>
      </c>
      <c r="S21" s="506">
        <v>1</v>
      </c>
      <c r="T21" s="507">
        <f>SUM(O21:S21)</f>
        <v>7</v>
      </c>
      <c r="U21" s="94">
        <f t="shared" si="0"/>
        <v>1.5765765765765767</v>
      </c>
      <c r="V21" s="506">
        <v>1</v>
      </c>
      <c r="W21" s="506">
        <f>Detmold14!E21</f>
        <v>0</v>
      </c>
      <c r="X21" s="506">
        <v>0</v>
      </c>
      <c r="Y21" s="506">
        <v>2</v>
      </c>
      <c r="Z21" s="506">
        <v>0</v>
      </c>
      <c r="AA21" s="507">
        <f>SUM(V21:Z21)</f>
        <v>3</v>
      </c>
      <c r="AB21" s="106">
        <f t="shared" si="1"/>
        <v>0.67567567567567566</v>
      </c>
      <c r="AC21" s="508">
        <v>1</v>
      </c>
      <c r="AD21" s="508">
        <v>0</v>
      </c>
      <c r="AE21" s="508">
        <f>9+0+8+2+0</f>
        <v>19</v>
      </c>
    </row>
    <row r="22" spans="1:34" ht="15" thickBot="1" x14ac:dyDescent="0.25">
      <c r="A22" s="503" t="s">
        <v>12</v>
      </c>
      <c r="B22" s="504">
        <v>873</v>
      </c>
      <c r="C22" s="504">
        <v>440</v>
      </c>
      <c r="D22" s="504">
        <v>1570</v>
      </c>
      <c r="E22" s="504">
        <v>1282</v>
      </c>
      <c r="F22" s="504">
        <v>549</v>
      </c>
      <c r="G22" s="505">
        <f t="shared" si="6"/>
        <v>4714</v>
      </c>
      <c r="H22" s="506">
        <v>4</v>
      </c>
      <c r="I22" s="506">
        <v>1</v>
      </c>
      <c r="J22" s="506">
        <v>10</v>
      </c>
      <c r="K22" s="506">
        <v>6</v>
      </c>
      <c r="L22" s="507">
        <v>2</v>
      </c>
      <c r="M22" s="507">
        <f>SUM(H22:L22)</f>
        <v>23</v>
      </c>
      <c r="N22" s="106">
        <f t="shared" si="3"/>
        <v>0.48790835808230804</v>
      </c>
      <c r="O22" s="506">
        <v>6</v>
      </c>
      <c r="P22" s="506">
        <v>6</v>
      </c>
      <c r="Q22" s="506">
        <v>4</v>
      </c>
      <c r="R22" s="506">
        <v>5</v>
      </c>
      <c r="S22" s="506">
        <v>1</v>
      </c>
      <c r="T22" s="507">
        <f>SUM(O22:S22)</f>
        <v>22</v>
      </c>
      <c r="U22" s="94">
        <f t="shared" si="0"/>
        <v>0.46669495120916421</v>
      </c>
      <c r="V22" s="506">
        <v>9</v>
      </c>
      <c r="W22" s="506">
        <v>0</v>
      </c>
      <c r="X22" s="506">
        <v>4</v>
      </c>
      <c r="Y22" s="506">
        <v>2</v>
      </c>
      <c r="Z22" s="506">
        <v>2</v>
      </c>
      <c r="AA22" s="507">
        <f>SUM(V22:Z22)</f>
        <v>17</v>
      </c>
      <c r="AB22" s="106">
        <f t="shared" si="1"/>
        <v>0.36062791684344508</v>
      </c>
      <c r="AC22" s="508">
        <v>6</v>
      </c>
      <c r="AD22" s="508">
        <f>0+1+0+0+3</f>
        <v>4</v>
      </c>
      <c r="AE22" s="508">
        <f>14+7+38+8+3</f>
        <v>70</v>
      </c>
    </row>
    <row r="23" spans="1:34" ht="15" thickBot="1" x14ac:dyDescent="0.25">
      <c r="A23" s="503" t="s">
        <v>13</v>
      </c>
      <c r="B23" s="504">
        <v>4</v>
      </c>
      <c r="C23" s="504">
        <v>15</v>
      </c>
      <c r="D23" s="504">
        <v>7</v>
      </c>
      <c r="E23" s="504">
        <v>2</v>
      </c>
      <c r="F23" s="504">
        <v>9</v>
      </c>
      <c r="G23" s="505">
        <f t="shared" si="6"/>
        <v>37</v>
      </c>
      <c r="H23" s="506">
        <v>0</v>
      </c>
      <c r="I23" s="506">
        <f>Detmold14!C23</f>
        <v>0</v>
      </c>
      <c r="J23" s="506">
        <f>Düsseldorf14!C23</f>
        <v>0</v>
      </c>
      <c r="K23" s="506">
        <f>Kölle14!C23</f>
        <v>0</v>
      </c>
      <c r="L23" s="507">
        <f>Münster14!C23</f>
        <v>0</v>
      </c>
      <c r="M23" s="507">
        <f>SUM(H23:L23)</f>
        <v>0</v>
      </c>
      <c r="N23" s="106">
        <f t="shared" si="3"/>
        <v>0</v>
      </c>
      <c r="O23" s="506">
        <v>0</v>
      </c>
      <c r="P23" s="506">
        <v>0</v>
      </c>
      <c r="Q23" s="506">
        <v>0</v>
      </c>
      <c r="R23" s="506">
        <v>0</v>
      </c>
      <c r="S23" s="506">
        <f>Münster14!D23</f>
        <v>0</v>
      </c>
      <c r="T23" s="507">
        <f>SUM(O23:S23)</f>
        <v>0</v>
      </c>
      <c r="U23" s="94">
        <f t="shared" si="0"/>
        <v>0</v>
      </c>
      <c r="V23" s="506">
        <v>0</v>
      </c>
      <c r="W23" s="506">
        <f>Detmold14!E23</f>
        <v>0</v>
      </c>
      <c r="X23" s="506">
        <v>0</v>
      </c>
      <c r="Y23" s="506">
        <v>0</v>
      </c>
      <c r="Z23" s="506">
        <f>Münster14!E23</f>
        <v>0</v>
      </c>
      <c r="AA23" s="507">
        <f>SUM(V23:Z23)</f>
        <v>0</v>
      </c>
      <c r="AB23" s="106">
        <f t="shared" si="1"/>
        <v>0</v>
      </c>
      <c r="AC23" s="508">
        <v>0</v>
      </c>
      <c r="AD23" s="508">
        <v>0</v>
      </c>
      <c r="AE23" s="508">
        <v>0</v>
      </c>
    </row>
    <row r="24" spans="1:34" ht="24.75" thickBot="1" x14ac:dyDescent="0.25">
      <c r="A24" s="510" t="s">
        <v>23</v>
      </c>
      <c r="B24" s="518">
        <v>505</v>
      </c>
      <c r="C24" s="518">
        <v>201</v>
      </c>
      <c r="D24" s="504">
        <v>616</v>
      </c>
      <c r="E24" s="518">
        <v>741</v>
      </c>
      <c r="F24" s="504">
        <v>282</v>
      </c>
      <c r="G24" s="505">
        <f t="shared" si="6"/>
        <v>2345</v>
      </c>
      <c r="H24" s="519">
        <v>1</v>
      </c>
      <c r="I24" s="506">
        <v>0</v>
      </c>
      <c r="J24" s="506">
        <v>1</v>
      </c>
      <c r="K24" s="506">
        <v>1</v>
      </c>
      <c r="L24" s="507">
        <v>0</v>
      </c>
      <c r="M24" s="507">
        <f>SUM(H24:L24)</f>
        <v>3</v>
      </c>
      <c r="N24" s="106">
        <f t="shared" si="3"/>
        <v>0.1279317697228145</v>
      </c>
      <c r="O24" s="519">
        <v>0</v>
      </c>
      <c r="P24" s="506">
        <v>1</v>
      </c>
      <c r="Q24" s="519">
        <v>0</v>
      </c>
      <c r="R24" s="519">
        <v>7</v>
      </c>
      <c r="S24" s="506">
        <v>1</v>
      </c>
      <c r="T24" s="507">
        <f>SUM(O24:S24)</f>
        <v>9</v>
      </c>
      <c r="U24" s="94">
        <f t="shared" si="0"/>
        <v>0.38379530916844351</v>
      </c>
      <c r="V24" s="519">
        <v>0</v>
      </c>
      <c r="W24" s="519">
        <v>0</v>
      </c>
      <c r="X24" s="519">
        <v>0</v>
      </c>
      <c r="Y24" s="519">
        <v>14</v>
      </c>
      <c r="Z24" s="519">
        <f>Münster14!E24</f>
        <v>0</v>
      </c>
      <c r="AA24" s="507">
        <f>SUM(V24:Z24)</f>
        <v>14</v>
      </c>
      <c r="AB24" s="106">
        <f t="shared" si="1"/>
        <v>0.59701492537313428</v>
      </c>
      <c r="AC24" s="508">
        <v>0</v>
      </c>
      <c r="AD24" s="508">
        <v>1</v>
      </c>
      <c r="AE24" s="508">
        <f>0+7+7+2+14</f>
        <v>30</v>
      </c>
    </row>
    <row r="25" spans="1:34" ht="15.75" thickBot="1" x14ac:dyDescent="0.3">
      <c r="A25" s="520" t="s">
        <v>22</v>
      </c>
      <c r="B25" s="521">
        <f t="shared" ref="B25:I25" si="10">SUM(B14:B24)</f>
        <v>1772</v>
      </c>
      <c r="C25" s="521">
        <f t="shared" si="10"/>
        <v>776</v>
      </c>
      <c r="D25" s="521">
        <f t="shared" si="10"/>
        <v>2805</v>
      </c>
      <c r="E25" s="521">
        <f t="shared" si="10"/>
        <v>2672</v>
      </c>
      <c r="F25" s="521">
        <f t="shared" si="10"/>
        <v>1071</v>
      </c>
      <c r="G25" s="514">
        <f t="shared" si="10"/>
        <v>9096</v>
      </c>
      <c r="H25" s="522">
        <f t="shared" si="10"/>
        <v>6</v>
      </c>
      <c r="I25" s="522">
        <f t="shared" si="10"/>
        <v>1</v>
      </c>
      <c r="J25" s="522">
        <f>SUM(J14:J24)</f>
        <v>11</v>
      </c>
      <c r="K25" s="522">
        <f t="shared" ref="K25:L25" si="11">SUM(K14:K24)</f>
        <v>10</v>
      </c>
      <c r="L25" s="522">
        <f t="shared" si="11"/>
        <v>2</v>
      </c>
      <c r="M25" s="326">
        <f>SUM(M14:M24)</f>
        <v>30</v>
      </c>
      <c r="N25" s="515">
        <f t="shared" si="3"/>
        <v>0.32981530343007914</v>
      </c>
      <c r="O25" s="523">
        <f t="shared" ref="O25:T25" si="12">SUM(O14:O24)</f>
        <v>12</v>
      </c>
      <c r="P25" s="523">
        <f t="shared" si="12"/>
        <v>7</v>
      </c>
      <c r="Q25" s="523">
        <f t="shared" si="12"/>
        <v>9</v>
      </c>
      <c r="R25" s="523">
        <f>SUM(R14:R24)</f>
        <v>20</v>
      </c>
      <c r="S25" s="523">
        <f t="shared" si="12"/>
        <v>3</v>
      </c>
      <c r="T25" s="326">
        <f t="shared" si="12"/>
        <v>51</v>
      </c>
      <c r="U25" s="94">
        <f t="shared" si="0"/>
        <v>0.56068601583113453</v>
      </c>
      <c r="V25" s="523">
        <f t="shared" ref="V25:AA25" si="13">SUM(V14:V24)</f>
        <v>11</v>
      </c>
      <c r="W25" s="523">
        <f t="shared" si="13"/>
        <v>0</v>
      </c>
      <c r="X25" s="523">
        <f t="shared" si="13"/>
        <v>4</v>
      </c>
      <c r="Y25" s="523">
        <f t="shared" si="13"/>
        <v>20</v>
      </c>
      <c r="Z25" s="523">
        <f t="shared" si="13"/>
        <v>2</v>
      </c>
      <c r="AA25" s="326">
        <f t="shared" si="13"/>
        <v>37</v>
      </c>
      <c r="AB25" s="106">
        <f t="shared" si="1"/>
        <v>0.40677220756376431</v>
      </c>
      <c r="AC25" s="132">
        <f>SUM(AC14:AC24)</f>
        <v>7</v>
      </c>
      <c r="AD25" s="115">
        <f>SUM(AD14:AD24)</f>
        <v>7</v>
      </c>
      <c r="AE25" s="115">
        <f>SUM(AE14:AE24)</f>
        <v>157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95"/>
      <c r="O27" s="74"/>
      <c r="P27" s="74"/>
      <c r="Q27" s="74"/>
      <c r="R27" s="74"/>
      <c r="S27" s="74"/>
      <c r="T27" s="88"/>
      <c r="U27" s="151"/>
      <c r="AA27" s="99"/>
      <c r="AC27" s="99"/>
      <c r="AD27" s="113"/>
      <c r="AE27" s="99"/>
    </row>
    <row r="28" spans="1:34" ht="15" thickBot="1" x14ac:dyDescent="0.25">
      <c r="A28" s="503" t="s">
        <v>15</v>
      </c>
      <c r="B28" s="504">
        <v>2806</v>
      </c>
      <c r="C28" s="504">
        <v>1776</v>
      </c>
      <c r="D28" s="504">
        <v>3528</v>
      </c>
      <c r="E28" s="504">
        <v>3278</v>
      </c>
      <c r="F28" s="504">
        <v>2818</v>
      </c>
      <c r="G28" s="505">
        <f>SUM(B28:F28)</f>
        <v>14206</v>
      </c>
      <c r="H28" s="506">
        <v>1</v>
      </c>
      <c r="I28" s="506">
        <v>0</v>
      </c>
      <c r="J28" s="506">
        <v>3</v>
      </c>
      <c r="K28" s="506">
        <v>1</v>
      </c>
      <c r="L28" s="507">
        <v>3</v>
      </c>
      <c r="M28" s="507">
        <f t="shared" ref="M28:M36" si="14">SUM(H28:L28)</f>
        <v>8</v>
      </c>
      <c r="N28" s="94">
        <f t="shared" si="3"/>
        <v>5.6314233422497535E-2</v>
      </c>
      <c r="O28" s="506">
        <v>3</v>
      </c>
      <c r="P28" s="506">
        <v>1</v>
      </c>
      <c r="Q28" s="506">
        <v>1</v>
      </c>
      <c r="R28" s="506">
        <v>4</v>
      </c>
      <c r="S28" s="506">
        <v>3</v>
      </c>
      <c r="T28" s="524">
        <f>SUM(O28:S28)</f>
        <v>12</v>
      </c>
      <c r="U28" s="94">
        <f t="shared" si="0"/>
        <v>8.4471350133746306E-2</v>
      </c>
      <c r="V28" s="506">
        <v>1</v>
      </c>
      <c r="W28" s="506">
        <v>0</v>
      </c>
      <c r="X28" s="506">
        <v>3</v>
      </c>
      <c r="Y28" s="506">
        <v>0</v>
      </c>
      <c r="Z28" s="506">
        <v>2</v>
      </c>
      <c r="AA28" s="507">
        <f t="shared" ref="AA28:AA36" si="15">SUM(V28:Z28)</f>
        <v>6</v>
      </c>
      <c r="AB28" s="106">
        <f t="shared" si="1"/>
        <v>4.2235675066873153E-2</v>
      </c>
      <c r="AC28" s="508">
        <v>1</v>
      </c>
      <c r="AD28" s="508">
        <f>0+0+0+0+0</f>
        <v>0</v>
      </c>
      <c r="AE28" s="508">
        <f>6+2+19+6+5</f>
        <v>38</v>
      </c>
    </row>
    <row r="29" spans="1:34" ht="15" thickBot="1" x14ac:dyDescent="0.25">
      <c r="A29" s="503" t="s">
        <v>16</v>
      </c>
      <c r="B29" s="504">
        <v>1113</v>
      </c>
      <c r="C29" s="504">
        <v>771</v>
      </c>
      <c r="D29" s="504">
        <v>1643</v>
      </c>
      <c r="E29" s="504">
        <v>1417</v>
      </c>
      <c r="F29" s="504">
        <v>938</v>
      </c>
      <c r="G29" s="505">
        <f t="shared" ref="G29:G36" si="16">SUM(B29:F29)</f>
        <v>5882</v>
      </c>
      <c r="H29" s="506">
        <v>0</v>
      </c>
      <c r="I29" s="506">
        <v>3</v>
      </c>
      <c r="J29" s="506">
        <v>6</v>
      </c>
      <c r="K29" s="506">
        <v>2</v>
      </c>
      <c r="L29" s="507">
        <v>2</v>
      </c>
      <c r="M29" s="507">
        <f t="shared" si="14"/>
        <v>13</v>
      </c>
      <c r="N29" s="94">
        <f t="shared" si="3"/>
        <v>0.22101326079564773</v>
      </c>
      <c r="O29" s="506">
        <v>3</v>
      </c>
      <c r="P29" s="506">
        <v>2</v>
      </c>
      <c r="Q29" s="506">
        <v>6</v>
      </c>
      <c r="R29" s="506">
        <v>5</v>
      </c>
      <c r="S29" s="506">
        <v>2</v>
      </c>
      <c r="T29" s="507">
        <f t="shared" ref="T29:T36" si="17">SUM(O29:S29)</f>
        <v>18</v>
      </c>
      <c r="U29" s="94">
        <f t="shared" si="0"/>
        <v>0.30601836110166608</v>
      </c>
      <c r="V29" s="506">
        <v>0</v>
      </c>
      <c r="W29" s="506">
        <v>0</v>
      </c>
      <c r="X29" s="506">
        <v>4</v>
      </c>
      <c r="Y29" s="506">
        <v>0</v>
      </c>
      <c r="Z29" s="506">
        <v>3</v>
      </c>
      <c r="AA29" s="507">
        <f t="shared" si="15"/>
        <v>7</v>
      </c>
      <c r="AB29" s="106">
        <f t="shared" si="1"/>
        <v>0.11900714042842571</v>
      </c>
      <c r="AC29" s="508">
        <f>0+6+0+1+3</f>
        <v>10</v>
      </c>
      <c r="AD29" s="508">
        <f>0+1+0+0+0</f>
        <v>1</v>
      </c>
      <c r="AE29" s="508">
        <f>2+9+12+4+6</f>
        <v>33</v>
      </c>
    </row>
    <row r="30" spans="1:34" ht="15" thickBot="1" x14ac:dyDescent="0.25">
      <c r="A30" s="503" t="s">
        <v>35</v>
      </c>
      <c r="B30" s="504">
        <v>850</v>
      </c>
      <c r="C30" s="504">
        <v>601</v>
      </c>
      <c r="D30" s="504">
        <v>863</v>
      </c>
      <c r="E30" s="504">
        <v>856</v>
      </c>
      <c r="F30" s="504">
        <v>1269</v>
      </c>
      <c r="G30" s="505">
        <f t="shared" si="16"/>
        <v>4439</v>
      </c>
      <c r="H30" s="506">
        <v>3</v>
      </c>
      <c r="I30" s="506">
        <v>3</v>
      </c>
      <c r="J30" s="506">
        <v>2</v>
      </c>
      <c r="K30" s="506">
        <v>3</v>
      </c>
      <c r="L30" s="507">
        <v>3</v>
      </c>
      <c r="M30" s="507">
        <f t="shared" si="14"/>
        <v>14</v>
      </c>
      <c r="N30" s="94">
        <f t="shared" si="3"/>
        <v>0.31538634827663886</v>
      </c>
      <c r="O30" s="506">
        <v>3</v>
      </c>
      <c r="P30" s="506">
        <v>3</v>
      </c>
      <c r="Q30" s="506">
        <v>5</v>
      </c>
      <c r="R30" s="506">
        <v>7</v>
      </c>
      <c r="S30" s="506">
        <v>3</v>
      </c>
      <c r="T30" s="507">
        <f t="shared" si="17"/>
        <v>21</v>
      </c>
      <c r="U30" s="94">
        <f t="shared" si="0"/>
        <v>0.47307952241495832</v>
      </c>
      <c r="V30" s="506">
        <v>0</v>
      </c>
      <c r="W30" s="506">
        <v>0</v>
      </c>
      <c r="X30" s="506">
        <v>2</v>
      </c>
      <c r="Y30" s="506">
        <v>0</v>
      </c>
      <c r="Z30" s="506">
        <v>1</v>
      </c>
      <c r="AA30" s="507">
        <f t="shared" si="15"/>
        <v>3</v>
      </c>
      <c r="AB30" s="106">
        <f t="shared" si="1"/>
        <v>6.7582788916422623E-2</v>
      </c>
      <c r="AC30" s="508">
        <f>1+0+0+0+0</f>
        <v>1</v>
      </c>
      <c r="AD30" s="508">
        <f>0+1+0+0+1</f>
        <v>2</v>
      </c>
      <c r="AE30" s="508">
        <f>2+7+5+6+5</f>
        <v>25</v>
      </c>
    </row>
    <row r="31" spans="1:34" ht="15" thickBot="1" x14ac:dyDescent="0.25">
      <c r="A31" s="503" t="s">
        <v>17</v>
      </c>
      <c r="B31" s="504">
        <v>6541</v>
      </c>
      <c r="C31" s="504">
        <v>3555</v>
      </c>
      <c r="D31" s="504">
        <v>8400</v>
      </c>
      <c r="E31" s="504">
        <v>7249</v>
      </c>
      <c r="F31" s="504">
        <v>5466</v>
      </c>
      <c r="G31" s="505">
        <f t="shared" si="16"/>
        <v>31211</v>
      </c>
      <c r="H31" s="506">
        <v>1</v>
      </c>
      <c r="I31" s="506">
        <v>1</v>
      </c>
      <c r="J31" s="506">
        <v>4</v>
      </c>
      <c r="K31" s="506">
        <v>1</v>
      </c>
      <c r="L31" s="507">
        <v>0</v>
      </c>
      <c r="M31" s="507">
        <f t="shared" si="14"/>
        <v>7</v>
      </c>
      <c r="N31" s="94">
        <f t="shared" si="3"/>
        <v>2.2427990131684342E-2</v>
      </c>
      <c r="O31" s="506">
        <v>7</v>
      </c>
      <c r="P31" s="506">
        <v>4</v>
      </c>
      <c r="Q31" s="506">
        <v>1</v>
      </c>
      <c r="R31" s="506">
        <v>6</v>
      </c>
      <c r="S31" s="506">
        <v>1</v>
      </c>
      <c r="T31" s="507">
        <f t="shared" si="17"/>
        <v>19</v>
      </c>
      <c r="U31" s="94">
        <f t="shared" si="0"/>
        <v>6.0875973214571784E-2</v>
      </c>
      <c r="V31" s="506">
        <v>3</v>
      </c>
      <c r="W31" s="506">
        <v>1</v>
      </c>
      <c r="X31" s="506">
        <v>2</v>
      </c>
      <c r="Y31" s="506">
        <v>2</v>
      </c>
      <c r="Z31" s="506">
        <v>1</v>
      </c>
      <c r="AA31" s="507">
        <f t="shared" si="15"/>
        <v>9</v>
      </c>
      <c r="AB31" s="106">
        <f t="shared" si="1"/>
        <v>2.8835987312165582E-2</v>
      </c>
      <c r="AC31" s="508">
        <f>1+2+0+1+0</f>
        <v>4</v>
      </c>
      <c r="AD31" s="508">
        <f>0+0+0+0+0</f>
        <v>0</v>
      </c>
      <c r="AE31" s="508">
        <f>13+11+41+18+3</f>
        <v>86</v>
      </c>
      <c r="AH31" t="s">
        <v>53</v>
      </c>
    </row>
    <row r="32" spans="1:34" ht="15" thickBot="1" x14ac:dyDescent="0.25">
      <c r="A32" s="503" t="s">
        <v>18</v>
      </c>
      <c r="B32" s="504">
        <v>1613</v>
      </c>
      <c r="C32" s="504">
        <v>1038</v>
      </c>
      <c r="D32" s="504">
        <v>1137</v>
      </c>
      <c r="E32" s="504">
        <v>1222</v>
      </c>
      <c r="F32" s="504">
        <v>2822</v>
      </c>
      <c r="G32" s="505">
        <f t="shared" si="16"/>
        <v>7832</v>
      </c>
      <c r="H32" s="506">
        <v>2</v>
      </c>
      <c r="I32" s="506">
        <v>2</v>
      </c>
      <c r="J32" s="506">
        <v>1</v>
      </c>
      <c r="K32" s="506">
        <v>1</v>
      </c>
      <c r="L32" s="507">
        <v>0</v>
      </c>
      <c r="M32" s="507">
        <f t="shared" si="14"/>
        <v>6</v>
      </c>
      <c r="N32" s="94">
        <f t="shared" si="3"/>
        <v>7.6608784473953015E-2</v>
      </c>
      <c r="O32" s="506">
        <v>2</v>
      </c>
      <c r="P32" s="506">
        <v>0</v>
      </c>
      <c r="Q32" s="506">
        <v>2</v>
      </c>
      <c r="R32" s="506">
        <v>2</v>
      </c>
      <c r="S32" s="506">
        <v>6</v>
      </c>
      <c r="T32" s="507">
        <f t="shared" si="17"/>
        <v>12</v>
      </c>
      <c r="U32" s="94">
        <f t="shared" si="0"/>
        <v>0.15321756894790603</v>
      </c>
      <c r="V32" s="506">
        <v>0</v>
      </c>
      <c r="W32" s="506">
        <v>0</v>
      </c>
      <c r="X32" s="506">
        <v>1</v>
      </c>
      <c r="Y32" s="506">
        <v>0</v>
      </c>
      <c r="Z32" s="506">
        <v>1</v>
      </c>
      <c r="AA32" s="507">
        <f t="shared" si="15"/>
        <v>2</v>
      </c>
      <c r="AB32" s="106">
        <f t="shared" si="1"/>
        <v>2.5536261491317672E-2</v>
      </c>
      <c r="AC32" s="508">
        <f>1+0+1+1+0</f>
        <v>3</v>
      </c>
      <c r="AD32" s="508">
        <f>0+0+0+0+0</f>
        <v>0</v>
      </c>
      <c r="AE32" s="508">
        <f>1+2+5+6+7</f>
        <v>21</v>
      </c>
    </row>
    <row r="33" spans="1:32" ht="15" thickBot="1" x14ac:dyDescent="0.25">
      <c r="A33" s="503" t="s">
        <v>19</v>
      </c>
      <c r="B33" s="504">
        <v>8709</v>
      </c>
      <c r="C33" s="504">
        <v>5599</v>
      </c>
      <c r="D33" s="504">
        <v>11190</v>
      </c>
      <c r="E33" s="504">
        <v>8905</v>
      </c>
      <c r="F33" s="504">
        <v>6364</v>
      </c>
      <c r="G33" s="505">
        <f t="shared" si="16"/>
        <v>40767</v>
      </c>
      <c r="H33" s="506">
        <v>27</v>
      </c>
      <c r="I33" s="506">
        <v>16</v>
      </c>
      <c r="J33" s="506">
        <v>34</v>
      </c>
      <c r="K33" s="506">
        <v>21</v>
      </c>
      <c r="L33" s="507">
        <v>17</v>
      </c>
      <c r="M33" s="507">
        <f t="shared" si="14"/>
        <v>115</v>
      </c>
      <c r="N33" s="94">
        <f t="shared" si="3"/>
        <v>0.28209090686094146</v>
      </c>
      <c r="O33" s="506">
        <v>29</v>
      </c>
      <c r="P33" s="506">
        <v>13</v>
      </c>
      <c r="Q33" s="506">
        <v>46</v>
      </c>
      <c r="R33" s="506">
        <v>28</v>
      </c>
      <c r="S33" s="506">
        <v>20</v>
      </c>
      <c r="T33" s="507">
        <f t="shared" si="17"/>
        <v>136</v>
      </c>
      <c r="U33" s="94">
        <f t="shared" si="0"/>
        <v>0.33360315941815682</v>
      </c>
      <c r="V33" s="506">
        <v>18</v>
      </c>
      <c r="W33" s="506">
        <v>2</v>
      </c>
      <c r="X33" s="506">
        <v>21</v>
      </c>
      <c r="Y33" s="506">
        <v>5</v>
      </c>
      <c r="Z33" s="506">
        <v>8</v>
      </c>
      <c r="AA33" s="507">
        <f t="shared" si="15"/>
        <v>54</v>
      </c>
      <c r="AB33" s="106">
        <f t="shared" si="1"/>
        <v>0.13246007800426815</v>
      </c>
      <c r="AC33" s="508">
        <f>6+8+2+10+16</f>
        <v>42</v>
      </c>
      <c r="AD33" s="508">
        <f>1+1+8+2+7</f>
        <v>19</v>
      </c>
      <c r="AE33" s="508">
        <f>43+36+105+43+34</f>
        <v>261</v>
      </c>
    </row>
    <row r="34" spans="1:32" ht="15" thickBot="1" x14ac:dyDescent="0.25">
      <c r="A34" s="503" t="s">
        <v>20</v>
      </c>
      <c r="B34" s="504">
        <v>7064</v>
      </c>
      <c r="C34" s="504">
        <v>4661</v>
      </c>
      <c r="D34" s="504">
        <v>8652</v>
      </c>
      <c r="E34" s="504">
        <v>8410</v>
      </c>
      <c r="F34" s="504">
        <v>4807</v>
      </c>
      <c r="G34" s="505">
        <f t="shared" si="16"/>
        <v>33594</v>
      </c>
      <c r="H34" s="506">
        <v>14</v>
      </c>
      <c r="I34" s="506">
        <v>6</v>
      </c>
      <c r="J34" s="506">
        <v>18</v>
      </c>
      <c r="K34" s="506">
        <v>8</v>
      </c>
      <c r="L34" s="507">
        <v>5</v>
      </c>
      <c r="M34" s="507">
        <f t="shared" si="14"/>
        <v>51</v>
      </c>
      <c r="N34" s="94">
        <f t="shared" si="3"/>
        <v>0.15181282371852117</v>
      </c>
      <c r="O34" s="506">
        <v>13</v>
      </c>
      <c r="P34" s="506">
        <v>6</v>
      </c>
      <c r="Q34" s="506">
        <v>31</v>
      </c>
      <c r="R34" s="506">
        <v>16</v>
      </c>
      <c r="S34" s="506">
        <v>8</v>
      </c>
      <c r="T34" s="507">
        <f t="shared" si="17"/>
        <v>74</v>
      </c>
      <c r="U34" s="94">
        <f t="shared" si="0"/>
        <v>0.22027743049354051</v>
      </c>
      <c r="V34" s="506">
        <v>5</v>
      </c>
      <c r="W34" s="506">
        <v>3</v>
      </c>
      <c r="X34" s="506">
        <v>5</v>
      </c>
      <c r="Y34" s="506">
        <v>0</v>
      </c>
      <c r="Z34" s="506">
        <v>5</v>
      </c>
      <c r="AA34" s="507">
        <f t="shared" si="15"/>
        <v>18</v>
      </c>
      <c r="AB34" s="106">
        <f t="shared" si="1"/>
        <v>5.3580996606536882E-2</v>
      </c>
      <c r="AC34" s="508">
        <f>5+3+2+6+10</f>
        <v>26</v>
      </c>
      <c r="AD34" s="508">
        <f>2+2+1+6+2</f>
        <v>13</v>
      </c>
      <c r="AE34" s="508">
        <f>33+21+64+37+21</f>
        <v>176</v>
      </c>
    </row>
    <row r="35" spans="1:32" ht="15" thickBot="1" x14ac:dyDescent="0.25">
      <c r="A35" s="503" t="s">
        <v>25</v>
      </c>
      <c r="B35" s="504">
        <v>163</v>
      </c>
      <c r="C35" s="504">
        <v>83</v>
      </c>
      <c r="D35" s="504">
        <v>144</v>
      </c>
      <c r="E35" s="504">
        <v>117</v>
      </c>
      <c r="F35" s="504">
        <v>802</v>
      </c>
      <c r="G35" s="505">
        <f t="shared" si="16"/>
        <v>1309</v>
      </c>
      <c r="H35" s="506">
        <v>0</v>
      </c>
      <c r="I35" s="506">
        <v>1</v>
      </c>
      <c r="J35" s="506">
        <v>1</v>
      </c>
      <c r="K35" s="506">
        <v>0</v>
      </c>
      <c r="L35" s="507">
        <v>1</v>
      </c>
      <c r="M35" s="507">
        <f t="shared" si="14"/>
        <v>3</v>
      </c>
      <c r="N35" s="94">
        <f t="shared" si="3"/>
        <v>0.22918258212375858</v>
      </c>
      <c r="O35" s="506">
        <v>0</v>
      </c>
      <c r="P35" s="506">
        <v>0</v>
      </c>
      <c r="Q35" s="506">
        <v>4</v>
      </c>
      <c r="R35" s="506">
        <v>0</v>
      </c>
      <c r="S35" s="506">
        <v>0</v>
      </c>
      <c r="T35" s="507">
        <f t="shared" si="17"/>
        <v>4</v>
      </c>
      <c r="U35" s="94">
        <f t="shared" si="0"/>
        <v>0.30557677616501144</v>
      </c>
      <c r="V35" s="506">
        <v>1</v>
      </c>
      <c r="W35" s="506">
        <v>0</v>
      </c>
      <c r="X35" s="506">
        <v>0</v>
      </c>
      <c r="Y35" s="506">
        <v>0</v>
      </c>
      <c r="Z35" s="506">
        <v>0</v>
      </c>
      <c r="AA35" s="507">
        <f t="shared" si="15"/>
        <v>1</v>
      </c>
      <c r="AB35" s="106">
        <f t="shared" si="1"/>
        <v>7.6394194041252861E-2</v>
      </c>
      <c r="AC35" s="508">
        <f>2+0+1+7+2</f>
        <v>12</v>
      </c>
      <c r="AD35" s="508">
        <f>0+0+0+0+1</f>
        <v>1</v>
      </c>
      <c r="AE35" s="508">
        <f>3+1+7+0+0</f>
        <v>11</v>
      </c>
    </row>
    <row r="36" spans="1:32" ht="15" thickBot="1" x14ac:dyDescent="0.25">
      <c r="A36" s="503" t="s">
        <v>26</v>
      </c>
      <c r="B36" s="504">
        <v>80829</v>
      </c>
      <c r="C36" s="504">
        <v>54550</v>
      </c>
      <c r="D36" s="504">
        <v>118412</v>
      </c>
      <c r="E36" s="504">
        <v>105110</v>
      </c>
      <c r="F36" s="504">
        <v>67745</v>
      </c>
      <c r="G36" s="505">
        <f t="shared" si="16"/>
        <v>426646</v>
      </c>
      <c r="H36" s="506">
        <v>117</v>
      </c>
      <c r="I36" s="506">
        <v>60</v>
      </c>
      <c r="J36" s="506">
        <v>161</v>
      </c>
      <c r="K36" s="506">
        <v>148</v>
      </c>
      <c r="L36" s="507">
        <v>69</v>
      </c>
      <c r="M36" s="507">
        <f t="shared" si="14"/>
        <v>555</v>
      </c>
      <c r="N36" s="94">
        <f t="shared" si="3"/>
        <v>0.13008442596438266</v>
      </c>
      <c r="O36" s="506">
        <v>182</v>
      </c>
      <c r="P36" s="506">
        <v>76</v>
      </c>
      <c r="Q36" s="506">
        <v>209</v>
      </c>
      <c r="R36" s="506">
        <v>156</v>
      </c>
      <c r="S36" s="506">
        <v>94</v>
      </c>
      <c r="T36" s="507">
        <f t="shared" si="17"/>
        <v>717</v>
      </c>
      <c r="U36" s="94">
        <f t="shared" si="0"/>
        <v>0.16805501516479704</v>
      </c>
      <c r="V36" s="506">
        <v>192</v>
      </c>
      <c r="W36" s="506">
        <v>32</v>
      </c>
      <c r="X36" s="506">
        <v>157</v>
      </c>
      <c r="Y36" s="506">
        <v>53</v>
      </c>
      <c r="Z36" s="506">
        <v>51</v>
      </c>
      <c r="AA36" s="507">
        <f t="shared" si="15"/>
        <v>485</v>
      </c>
      <c r="AB36" s="106">
        <f t="shared" si="1"/>
        <v>0.11367738124815421</v>
      </c>
      <c r="AC36" s="508">
        <f>34+25+5+27+42</f>
        <v>133</v>
      </c>
      <c r="AD36" s="508">
        <f>18+71+38+9+3</f>
        <v>139</v>
      </c>
      <c r="AE36" s="507">
        <f>592+321+1174+486+254</f>
        <v>2827</v>
      </c>
    </row>
    <row r="37" spans="1:32" ht="15.75" thickBot="1" x14ac:dyDescent="0.3">
      <c r="A37" s="520" t="s">
        <v>21</v>
      </c>
      <c r="B37" s="521">
        <f t="shared" ref="B37:M37" si="18">SUM(B28:B36)</f>
        <v>109688</v>
      </c>
      <c r="C37" s="521">
        <f t="shared" si="18"/>
        <v>72634</v>
      </c>
      <c r="D37" s="521">
        <f t="shared" si="18"/>
        <v>153969</v>
      </c>
      <c r="E37" s="521">
        <f>SUM(E28:E36)</f>
        <v>136564</v>
      </c>
      <c r="F37" s="521">
        <f t="shared" si="18"/>
        <v>93031</v>
      </c>
      <c r="G37" s="514">
        <f t="shared" si="18"/>
        <v>565886</v>
      </c>
      <c r="H37" s="522">
        <f t="shared" si="18"/>
        <v>165</v>
      </c>
      <c r="I37" s="522">
        <f t="shared" si="18"/>
        <v>92</v>
      </c>
      <c r="J37" s="522">
        <f t="shared" si="18"/>
        <v>230</v>
      </c>
      <c r="K37" s="522">
        <f>SUM(K28:K36)</f>
        <v>185</v>
      </c>
      <c r="L37" s="522">
        <f t="shared" si="18"/>
        <v>100</v>
      </c>
      <c r="M37" s="326">
        <f t="shared" si="18"/>
        <v>772</v>
      </c>
      <c r="N37" s="515">
        <f t="shared" si="3"/>
        <v>0.13642323718911584</v>
      </c>
      <c r="O37" s="523">
        <f t="shared" ref="O37:T37" si="19">SUM(O28:O36)</f>
        <v>242</v>
      </c>
      <c r="P37" s="523">
        <f t="shared" si="19"/>
        <v>105</v>
      </c>
      <c r="Q37" s="523">
        <f t="shared" si="19"/>
        <v>305</v>
      </c>
      <c r="R37" s="523">
        <f>SUM(R28:R36)</f>
        <v>224</v>
      </c>
      <c r="S37" s="523">
        <f t="shared" si="19"/>
        <v>137</v>
      </c>
      <c r="T37" s="326">
        <f t="shared" si="19"/>
        <v>1013</v>
      </c>
      <c r="U37" s="94">
        <f t="shared" si="0"/>
        <v>0.1790113203012621</v>
      </c>
      <c r="V37" s="523">
        <f t="shared" ref="V37:AA37" si="20">SUM(V28:V36)</f>
        <v>220</v>
      </c>
      <c r="W37" s="523">
        <f t="shared" si="20"/>
        <v>38</v>
      </c>
      <c r="X37" s="523">
        <f t="shared" si="20"/>
        <v>195</v>
      </c>
      <c r="Y37" s="523">
        <f>SUM(Y28:Y36)</f>
        <v>60</v>
      </c>
      <c r="Z37" s="523">
        <f t="shared" si="20"/>
        <v>72</v>
      </c>
      <c r="AA37" s="326">
        <f t="shared" si="20"/>
        <v>585</v>
      </c>
      <c r="AB37" s="106">
        <f t="shared" si="1"/>
        <v>0.10337771211869529</v>
      </c>
      <c r="AC37" s="132">
        <f>SUM(AC28:AC36)</f>
        <v>232</v>
      </c>
      <c r="AD37" s="115">
        <f>SUM(AD28:AD36)</f>
        <v>175</v>
      </c>
      <c r="AE37" s="117">
        <f>SUM(AE28:AE36)</f>
        <v>3478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</row>
    <row r="39" spans="1:32" ht="15.75" thickBot="1" x14ac:dyDescent="0.3">
      <c r="A39" s="6" t="s">
        <v>28</v>
      </c>
      <c r="B39" s="32"/>
      <c r="C39" s="32"/>
      <c r="D39" s="32"/>
      <c r="E39" s="32"/>
      <c r="F39" s="32"/>
      <c r="G39" s="123"/>
      <c r="H39" s="74"/>
      <c r="I39" s="74"/>
      <c r="J39" s="74"/>
      <c r="K39" s="74"/>
      <c r="L39" s="53"/>
      <c r="M39" s="98"/>
      <c r="N39" s="525"/>
      <c r="O39" s="74"/>
      <c r="P39" s="74"/>
      <c r="Q39" s="74"/>
      <c r="R39" s="74"/>
      <c r="S39" s="74"/>
      <c r="T39" s="88"/>
      <c r="U39" s="151"/>
      <c r="AA39" s="99"/>
      <c r="AC39" s="99"/>
      <c r="AD39" s="99"/>
      <c r="AE39" s="99"/>
    </row>
    <row r="40" spans="1:32" ht="15.75" thickBot="1" x14ac:dyDescent="0.3">
      <c r="A40" s="503" t="s">
        <v>41</v>
      </c>
      <c r="B40" s="504">
        <v>244</v>
      </c>
      <c r="C40" s="504">
        <v>127</v>
      </c>
      <c r="D40" s="504">
        <v>282</v>
      </c>
      <c r="E40" s="504">
        <v>252</v>
      </c>
      <c r="F40" s="504">
        <v>1154</v>
      </c>
      <c r="G40" s="505">
        <f>SUM(B40:F40)</f>
        <v>2059</v>
      </c>
      <c r="H40" s="506">
        <v>1</v>
      </c>
      <c r="I40" s="506">
        <v>0</v>
      </c>
      <c r="J40" s="506">
        <v>0</v>
      </c>
      <c r="K40" s="506">
        <v>0</v>
      </c>
      <c r="L40" s="526">
        <v>1</v>
      </c>
      <c r="M40" s="507">
        <f>SUM(H40:L40)</f>
        <v>2</v>
      </c>
      <c r="N40" s="515">
        <f t="shared" si="3"/>
        <v>9.7134531325886356E-2</v>
      </c>
      <c r="O40" s="506">
        <v>5</v>
      </c>
      <c r="P40" s="506">
        <v>0</v>
      </c>
      <c r="Q40" s="506">
        <v>3</v>
      </c>
      <c r="R40" s="506">
        <v>1</v>
      </c>
      <c r="S40" s="506">
        <v>1</v>
      </c>
      <c r="T40" s="507">
        <f>SUM(O40:S40)</f>
        <v>10</v>
      </c>
      <c r="U40" s="94">
        <f t="shared" si="0"/>
        <v>0.48567265662943176</v>
      </c>
      <c r="V40" s="527">
        <v>0</v>
      </c>
      <c r="W40" s="527">
        <v>0</v>
      </c>
      <c r="X40" s="527">
        <v>0</v>
      </c>
      <c r="Y40" s="527">
        <v>0</v>
      </c>
      <c r="Z40" s="527">
        <v>0</v>
      </c>
      <c r="AA40" s="508">
        <f>SUM(V40:Z40)</f>
        <v>0</v>
      </c>
      <c r="AB40" s="106">
        <f t="shared" si="1"/>
        <v>0</v>
      </c>
      <c r="AC40" s="508">
        <f>0+1+0+0+1</f>
        <v>2</v>
      </c>
      <c r="AD40" s="508">
        <f>0+0+0+0+0</f>
        <v>0</v>
      </c>
      <c r="AE40" s="508">
        <f>6+6+0+0+0</f>
        <v>12</v>
      </c>
    </row>
    <row r="41" spans="1:32" ht="15.75" thickBot="1" x14ac:dyDescent="0.3">
      <c r="A41" s="503" t="s">
        <v>27</v>
      </c>
      <c r="B41" s="504">
        <v>91176</v>
      </c>
      <c r="C41" s="504">
        <v>51542</v>
      </c>
      <c r="D41" s="528">
        <v>65879</v>
      </c>
      <c r="E41" s="504">
        <v>75635</v>
      </c>
      <c r="F41" s="504">
        <v>68636</v>
      </c>
      <c r="G41" s="505">
        <f>SUM(B41:F41)</f>
        <v>352868</v>
      </c>
      <c r="H41" s="506">
        <v>27</v>
      </c>
      <c r="I41" s="506">
        <v>11</v>
      </c>
      <c r="J41" s="506">
        <v>31</v>
      </c>
      <c r="K41" s="506">
        <v>21</v>
      </c>
      <c r="L41" s="507">
        <v>30</v>
      </c>
      <c r="M41" s="507">
        <f>SUM(H41:L41)</f>
        <v>120</v>
      </c>
      <c r="N41" s="515">
        <f t="shared" si="3"/>
        <v>3.4007050795198203E-2</v>
      </c>
      <c r="O41" s="506">
        <v>31</v>
      </c>
      <c r="P41" s="506">
        <v>9</v>
      </c>
      <c r="Q41" s="506">
        <v>34</v>
      </c>
      <c r="R41" s="506">
        <v>17</v>
      </c>
      <c r="S41" s="506">
        <v>5</v>
      </c>
      <c r="T41" s="507">
        <f>SUM(O41:S41)</f>
        <v>96</v>
      </c>
      <c r="U41" s="94">
        <f t="shared" si="0"/>
        <v>2.7205640636158563E-2</v>
      </c>
      <c r="V41" s="529">
        <v>27</v>
      </c>
      <c r="W41" s="529">
        <v>3</v>
      </c>
      <c r="X41" s="527">
        <v>19</v>
      </c>
      <c r="Y41" s="527">
        <v>6</v>
      </c>
      <c r="Z41" s="527">
        <v>11</v>
      </c>
      <c r="AA41" s="507">
        <f>SUM(V41:Z41)</f>
        <v>66</v>
      </c>
      <c r="AB41" s="106">
        <f t="shared" si="1"/>
        <v>1.8703877937359014E-2</v>
      </c>
      <c r="AC41" s="508">
        <f>2+5+3+2+3</f>
        <v>15</v>
      </c>
      <c r="AD41" s="508">
        <f>3+2+16+0+3</f>
        <v>24</v>
      </c>
      <c r="AE41" s="538">
        <f>86+70+222+45+44</f>
        <v>467</v>
      </c>
    </row>
    <row r="42" spans="1:32" ht="15.75" thickBot="1" x14ac:dyDescent="0.3">
      <c r="A42" s="520" t="s">
        <v>21</v>
      </c>
      <c r="B42" s="530">
        <f>SUM(B40:B41)</f>
        <v>91420</v>
      </c>
      <c r="C42" s="530">
        <f>SUM(C40:C41)</f>
        <v>51669</v>
      </c>
      <c r="D42" s="530">
        <f>SUM(D40:D41)</f>
        <v>66161</v>
      </c>
      <c r="E42" s="530">
        <f>SUM(E40:E41)</f>
        <v>75887</v>
      </c>
      <c r="F42" s="530">
        <f>SUM(F40:F41)</f>
        <v>69790</v>
      </c>
      <c r="G42" s="514">
        <f t="shared" ref="G42:M42" si="21">SUM(G40:G41)</f>
        <v>354927</v>
      </c>
      <c r="H42" s="338">
        <f>SUM(H40:H41)</f>
        <v>28</v>
      </c>
      <c r="I42" s="338">
        <f>SUM(I40:I41)</f>
        <v>11</v>
      </c>
      <c r="J42" s="338">
        <f>SUM(J40:J41)</f>
        <v>31</v>
      </c>
      <c r="K42" s="338">
        <f>SUM(K40:K41)</f>
        <v>21</v>
      </c>
      <c r="L42" s="338">
        <f>SUM(L40:L41)</f>
        <v>31</v>
      </c>
      <c r="M42" s="326">
        <f t="shared" si="21"/>
        <v>122</v>
      </c>
      <c r="N42" s="515">
        <f t="shared" si="3"/>
        <v>3.4373265488396205E-2</v>
      </c>
      <c r="O42" s="522">
        <f t="shared" ref="O42:T42" si="22">SUM(O40:O41)</f>
        <v>36</v>
      </c>
      <c r="P42" s="522">
        <f t="shared" si="22"/>
        <v>9</v>
      </c>
      <c r="Q42" s="522">
        <f t="shared" si="22"/>
        <v>37</v>
      </c>
      <c r="R42" s="522">
        <f t="shared" si="22"/>
        <v>18</v>
      </c>
      <c r="S42" s="522">
        <f t="shared" si="22"/>
        <v>6</v>
      </c>
      <c r="T42" s="329">
        <f t="shared" si="22"/>
        <v>106</v>
      </c>
      <c r="U42" s="94">
        <f t="shared" si="0"/>
        <v>2.9865296244016376E-2</v>
      </c>
      <c r="V42" s="101">
        <f>SUM(V40:V41)</f>
        <v>27</v>
      </c>
      <c r="W42" s="101">
        <f t="shared" ref="W42:Z42" si="23">SUM(W40:W41)</f>
        <v>3</v>
      </c>
      <c r="X42" s="101">
        <f t="shared" si="23"/>
        <v>19</v>
      </c>
      <c r="Y42" s="101">
        <f>SUM(Y40:Y41)</f>
        <v>6</v>
      </c>
      <c r="Z42" s="101">
        <f t="shared" si="23"/>
        <v>11</v>
      </c>
      <c r="AA42" s="327">
        <f>SUM(AA40:AA41)</f>
        <v>66</v>
      </c>
      <c r="AB42" s="106">
        <f t="shared" si="1"/>
        <v>1.8595373133066799E-2</v>
      </c>
      <c r="AC42" s="115">
        <f>SUM(AC40:AC41)</f>
        <v>17</v>
      </c>
      <c r="AD42" s="132">
        <f>SUM(AD40:AD41)</f>
        <v>24</v>
      </c>
      <c r="AE42" s="132">
        <f>SUM(AE40:AE41)</f>
        <v>479</v>
      </c>
    </row>
    <row r="43" spans="1:32" ht="15.75" thickBot="1" x14ac:dyDescent="0.3">
      <c r="A43" s="531" t="s">
        <v>49</v>
      </c>
      <c r="B43" s="532">
        <f>B11+B25+B37+B42</f>
        <v>204249</v>
      </c>
      <c r="C43" s="533">
        <f>C11+C25+C37+C42</f>
        <v>125649</v>
      </c>
      <c r="D43" s="534">
        <f>D11+D25+D37+D42</f>
        <v>224912</v>
      </c>
      <c r="E43" s="535">
        <f>SUM(B43:D43)</f>
        <v>554810</v>
      </c>
      <c r="F43" s="535">
        <f t="shared" ref="F43:M43" si="24">F11+F25+F37+F42</f>
        <v>164557</v>
      </c>
      <c r="G43" s="139">
        <f t="shared" si="24"/>
        <v>936372</v>
      </c>
      <c r="H43" s="139">
        <f t="shared" si="24"/>
        <v>201</v>
      </c>
      <c r="I43" s="139">
        <f t="shared" si="24"/>
        <v>110</v>
      </c>
      <c r="J43" s="139">
        <f t="shared" si="24"/>
        <v>276</v>
      </c>
      <c r="K43" s="139">
        <f>K11+K25+K37+K42</f>
        <v>219</v>
      </c>
      <c r="L43" s="139">
        <f t="shared" si="24"/>
        <v>133</v>
      </c>
      <c r="M43" s="140">
        <f t="shared" si="24"/>
        <v>939</v>
      </c>
      <c r="N43" s="515">
        <f t="shared" si="3"/>
        <v>0.1002806576873294</v>
      </c>
      <c r="O43" s="140">
        <f t="shared" ref="O43:T43" si="25">O11+O25+O37+O42</f>
        <v>295</v>
      </c>
      <c r="P43" s="140">
        <f t="shared" si="25"/>
        <v>130</v>
      </c>
      <c r="Q43" s="140">
        <f t="shared" si="25"/>
        <v>362</v>
      </c>
      <c r="R43" s="140">
        <f>R11+R25+R37+R42</f>
        <v>282</v>
      </c>
      <c r="S43" s="140">
        <f t="shared" si="25"/>
        <v>146</v>
      </c>
      <c r="T43" s="140">
        <f t="shared" si="25"/>
        <v>1215</v>
      </c>
      <c r="U43" s="94">
        <f t="shared" si="0"/>
        <v>0.12975612256667221</v>
      </c>
      <c r="V43" s="140">
        <f t="shared" ref="V43:AA43" si="26">V11+V25+V37+V42</f>
        <v>260</v>
      </c>
      <c r="W43" s="140">
        <f t="shared" si="26"/>
        <v>44</v>
      </c>
      <c r="X43" s="140">
        <f t="shared" si="26"/>
        <v>248</v>
      </c>
      <c r="Y43" s="140">
        <f t="shared" si="26"/>
        <v>88</v>
      </c>
      <c r="Z43" s="140">
        <f t="shared" si="26"/>
        <v>89</v>
      </c>
      <c r="AA43" s="140">
        <f t="shared" si="26"/>
        <v>729</v>
      </c>
      <c r="AB43" s="106">
        <f t="shared" si="1"/>
        <v>7.7853673540003332E-2</v>
      </c>
      <c r="AC43" s="140">
        <f>AC11+AC25+AC37+AC42</f>
        <v>265</v>
      </c>
      <c r="AD43" s="324">
        <f>AD11+AD25+AD37+AD42</f>
        <v>210</v>
      </c>
      <c r="AE43" s="140">
        <f>AE11+AE25+AE37+AE42</f>
        <v>4265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8">
    <mergeCell ref="A1:AE1"/>
    <mergeCell ref="A3:A4"/>
    <mergeCell ref="B3:G3"/>
    <mergeCell ref="H3:M3"/>
    <mergeCell ref="O3:T3"/>
    <mergeCell ref="U3:U4"/>
    <mergeCell ref="AB3:AB4"/>
    <mergeCell ref="V3:Z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J46"/>
  <sheetViews>
    <sheetView zoomScale="60" zoomScaleNormal="60" workbookViewId="0">
      <selection activeCell="A35" sqref="A35:XFD35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customWidth="1" outlineLevel="1"/>
    <col min="9" max="10" width="10.42578125" customWidth="1" outlineLevel="1"/>
    <col min="11" max="11" width="9.85546875" customWidth="1" outlineLevel="1"/>
    <col min="12" max="12" width="11.42578125" customWidth="1" outlineLevel="1"/>
    <col min="13" max="13" width="15.5703125" customWidth="1"/>
    <col min="14" max="14" width="13.42578125" customWidth="1"/>
    <col min="15" max="19" width="11.42578125" customWidth="1" outlineLevel="1"/>
    <col min="20" max="20" width="18.140625" customWidth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539" customFormat="1" ht="18" x14ac:dyDescent="0.25">
      <c r="A1" s="730" t="s">
        <v>124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539" customFormat="1" ht="9" customHeight="1" thickBot="1" x14ac:dyDescent="0.3"/>
    <row r="3" spans="1:36" ht="66" customHeight="1" thickTop="1" thickBot="1" x14ac:dyDescent="0.25">
      <c r="A3" s="756" t="s">
        <v>24</v>
      </c>
      <c r="B3" s="758" t="s">
        <v>0</v>
      </c>
      <c r="C3" s="759"/>
      <c r="D3" s="759"/>
      <c r="E3" s="759"/>
      <c r="F3" s="759"/>
      <c r="G3" s="760"/>
      <c r="H3" s="761" t="s">
        <v>33</v>
      </c>
      <c r="I3" s="762"/>
      <c r="J3" s="762"/>
      <c r="K3" s="762"/>
      <c r="L3" s="762"/>
      <c r="M3" s="763"/>
      <c r="N3" s="540" t="s">
        <v>40</v>
      </c>
      <c r="O3" s="764" t="s">
        <v>42</v>
      </c>
      <c r="P3" s="765"/>
      <c r="Q3" s="765"/>
      <c r="R3" s="765"/>
      <c r="S3" s="765"/>
      <c r="T3" s="763"/>
      <c r="U3" s="766" t="s">
        <v>43</v>
      </c>
      <c r="V3" s="770" t="s">
        <v>123</v>
      </c>
      <c r="W3" s="771"/>
      <c r="X3" s="771"/>
      <c r="Y3" s="771"/>
      <c r="Z3" s="772"/>
      <c r="AA3" s="493" t="s">
        <v>45</v>
      </c>
      <c r="AB3" s="768" t="s">
        <v>43</v>
      </c>
      <c r="AC3" s="493" t="s">
        <v>46</v>
      </c>
      <c r="AD3" s="536" t="s">
        <v>47</v>
      </c>
      <c r="AE3" s="537" t="s">
        <v>48</v>
      </c>
      <c r="AF3" s="112"/>
      <c r="AG3" s="112"/>
      <c r="AH3" s="112"/>
      <c r="AI3" s="112"/>
      <c r="AJ3" s="112"/>
    </row>
    <row r="4" spans="1:36" ht="14.25" thickTop="1" thickBot="1" x14ac:dyDescent="0.25">
      <c r="A4" s="757"/>
      <c r="B4" s="494" t="s">
        <v>29</v>
      </c>
      <c r="C4" s="495" t="s">
        <v>30</v>
      </c>
      <c r="D4" s="495" t="s">
        <v>36</v>
      </c>
      <c r="E4" s="495" t="s">
        <v>31</v>
      </c>
      <c r="F4" s="495" t="s">
        <v>32</v>
      </c>
      <c r="G4" s="498" t="s">
        <v>21</v>
      </c>
      <c r="H4" s="496" t="s">
        <v>29</v>
      </c>
      <c r="I4" s="497" t="s">
        <v>30</v>
      </c>
      <c r="J4" s="497" t="s">
        <v>37</v>
      </c>
      <c r="K4" s="497" t="s">
        <v>34</v>
      </c>
      <c r="L4" s="497" t="s">
        <v>32</v>
      </c>
      <c r="M4" s="499" t="s">
        <v>21</v>
      </c>
      <c r="N4" s="541"/>
      <c r="O4" s="497" t="s">
        <v>29</v>
      </c>
      <c r="P4" s="497" t="s">
        <v>30</v>
      </c>
      <c r="Q4" s="497" t="s">
        <v>36</v>
      </c>
      <c r="R4" s="497" t="s">
        <v>31</v>
      </c>
      <c r="S4" s="497" t="s">
        <v>32</v>
      </c>
      <c r="T4" s="499" t="s">
        <v>21</v>
      </c>
      <c r="U4" s="767"/>
      <c r="V4" s="490" t="s">
        <v>29</v>
      </c>
      <c r="W4" s="491" t="s">
        <v>30</v>
      </c>
      <c r="X4" s="489" t="s">
        <v>37</v>
      </c>
      <c r="Y4" s="491" t="s">
        <v>34</v>
      </c>
      <c r="Z4" s="489" t="s">
        <v>32</v>
      </c>
      <c r="AA4" s="492" t="s">
        <v>21</v>
      </c>
      <c r="AB4" s="769"/>
      <c r="AC4" s="500" t="s">
        <v>21</v>
      </c>
      <c r="AD4" s="502" t="s">
        <v>21</v>
      </c>
      <c r="AE4" s="501" t="s">
        <v>21</v>
      </c>
    </row>
    <row r="5" spans="1:36" ht="16.5" thickTop="1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503" t="s">
        <v>1</v>
      </c>
      <c r="B6" s="504">
        <v>84</v>
      </c>
      <c r="C6" s="504">
        <v>34</v>
      </c>
      <c r="D6" s="504">
        <v>104</v>
      </c>
      <c r="E6" s="189">
        <v>94</v>
      </c>
      <c r="F6" s="504">
        <v>36</v>
      </c>
      <c r="G6" s="505">
        <f>SUM(B6:F6)</f>
        <v>352</v>
      </c>
      <c r="H6" s="506">
        <v>0</v>
      </c>
      <c r="I6" s="506">
        <v>0</v>
      </c>
      <c r="J6" s="506">
        <v>0</v>
      </c>
      <c r="K6" s="506">
        <v>0</v>
      </c>
      <c r="L6" s="507">
        <v>0</v>
      </c>
      <c r="M6" s="508">
        <f>SUM(H6:L6)</f>
        <v>0</v>
      </c>
      <c r="N6" s="106">
        <f>M6*100/G6</f>
        <v>0</v>
      </c>
      <c r="O6" s="506">
        <v>0</v>
      </c>
      <c r="P6" s="506">
        <v>1</v>
      </c>
      <c r="Q6" s="506">
        <v>1</v>
      </c>
      <c r="R6" s="506">
        <v>1</v>
      </c>
      <c r="S6" s="506">
        <v>0</v>
      </c>
      <c r="T6" s="508">
        <f>SUM(O6:S6)</f>
        <v>3</v>
      </c>
      <c r="U6" s="94">
        <f>T6*100/G6</f>
        <v>0.85227272727272729</v>
      </c>
      <c r="V6" s="506">
        <v>0</v>
      </c>
      <c r="W6" s="506">
        <v>0</v>
      </c>
      <c r="X6" s="506">
        <v>1</v>
      </c>
      <c r="Y6" s="506">
        <v>0</v>
      </c>
      <c r="Z6" s="506">
        <v>0</v>
      </c>
      <c r="AA6" s="507">
        <f>SUM(V6:Z6)</f>
        <v>1</v>
      </c>
      <c r="AB6" s="106">
        <f>AA6*100/G6</f>
        <v>0.28409090909090912</v>
      </c>
      <c r="AC6" s="508">
        <f>0+0+0+0+0</f>
        <v>0</v>
      </c>
      <c r="AD6" s="508">
        <f>0+0+0+0+0</f>
        <v>0</v>
      </c>
      <c r="AE6" s="508">
        <f>0+0+7+0+0</f>
        <v>7</v>
      </c>
    </row>
    <row r="7" spans="1:36" ht="15" thickBot="1" x14ac:dyDescent="0.25">
      <c r="A7" s="509" t="s">
        <v>2</v>
      </c>
      <c r="B7" s="504">
        <v>548</v>
      </c>
      <c r="C7" s="504">
        <v>208</v>
      </c>
      <c r="D7" s="504">
        <v>746</v>
      </c>
      <c r="E7" s="189">
        <v>692</v>
      </c>
      <c r="F7" s="504">
        <v>274</v>
      </c>
      <c r="G7" s="505">
        <f>SUM(B7:F7)</f>
        <v>2468</v>
      </c>
      <c r="H7" s="506">
        <v>4</v>
      </c>
      <c r="I7" s="506">
        <v>1</v>
      </c>
      <c r="J7" s="506">
        <v>9</v>
      </c>
      <c r="K7" s="506">
        <v>3</v>
      </c>
      <c r="L7" s="507">
        <v>0</v>
      </c>
      <c r="M7" s="507">
        <f>SUM(H7:L7)</f>
        <v>17</v>
      </c>
      <c r="N7" s="106">
        <f>M7*100/G7</f>
        <v>0.68881685575364671</v>
      </c>
      <c r="O7" s="506">
        <v>7</v>
      </c>
      <c r="P7" s="506">
        <v>4</v>
      </c>
      <c r="Q7" s="506">
        <v>8</v>
      </c>
      <c r="R7" s="506">
        <v>6</v>
      </c>
      <c r="S7" s="506">
        <v>1</v>
      </c>
      <c r="T7" s="507">
        <f>SUM(O7:S7)</f>
        <v>26</v>
      </c>
      <c r="U7" s="94">
        <f>T7*100/G7</f>
        <v>1.0534846029173419</v>
      </c>
      <c r="V7" s="506">
        <v>2</v>
      </c>
      <c r="W7" s="506">
        <v>4</v>
      </c>
      <c r="X7" s="506">
        <v>3</v>
      </c>
      <c r="Y7" s="506">
        <v>2</v>
      </c>
      <c r="Z7" s="506">
        <v>5</v>
      </c>
      <c r="AA7" s="507">
        <f>SUM(V7:Z7)</f>
        <v>16</v>
      </c>
      <c r="AB7" s="106">
        <f>AA7*100/G7</f>
        <v>0.64829821717990277</v>
      </c>
      <c r="AC7" s="508">
        <f>0+2+4+0+1</f>
        <v>7</v>
      </c>
      <c r="AD7" s="508">
        <f>0+1+0+0+0</f>
        <v>1</v>
      </c>
      <c r="AE7" s="508">
        <f>10+12+30+8+9</f>
        <v>69</v>
      </c>
    </row>
    <row r="8" spans="1:36" ht="15" thickBot="1" x14ac:dyDescent="0.25">
      <c r="A8" s="509" t="s">
        <v>14</v>
      </c>
      <c r="B8" s="504">
        <v>43</v>
      </c>
      <c r="C8" s="504">
        <v>27</v>
      </c>
      <c r="D8" s="504">
        <v>95</v>
      </c>
      <c r="E8" s="189">
        <v>97</v>
      </c>
      <c r="F8" s="504">
        <v>42</v>
      </c>
      <c r="G8" s="505">
        <f>SUM(B8:F8)</f>
        <v>304</v>
      </c>
      <c r="H8" s="506">
        <v>0</v>
      </c>
      <c r="I8" s="506">
        <v>0</v>
      </c>
      <c r="J8" s="506">
        <v>0</v>
      </c>
      <c r="K8" s="506">
        <v>1</v>
      </c>
      <c r="L8" s="507">
        <v>0</v>
      </c>
      <c r="M8" s="508">
        <f>SUM(H8:L8)</f>
        <v>1</v>
      </c>
      <c r="N8" s="106">
        <f>M8*100/G8</f>
        <v>0.32894736842105265</v>
      </c>
      <c r="O8" s="506">
        <v>0</v>
      </c>
      <c r="P8" s="506">
        <v>0</v>
      </c>
      <c r="Q8" s="506">
        <v>2</v>
      </c>
      <c r="R8" s="506">
        <v>0</v>
      </c>
      <c r="S8" s="506">
        <v>0</v>
      </c>
      <c r="T8" s="508">
        <f>SUM(O8:S8)</f>
        <v>2</v>
      </c>
      <c r="U8" s="94">
        <f t="shared" ref="U8:U43" si="0">T8*100/G8</f>
        <v>0.65789473684210531</v>
      </c>
      <c r="V8" s="506">
        <v>0</v>
      </c>
      <c r="W8" s="506">
        <v>0</v>
      </c>
      <c r="X8" s="506">
        <v>0</v>
      </c>
      <c r="Y8" s="506">
        <v>1</v>
      </c>
      <c r="Z8" s="506">
        <v>0</v>
      </c>
      <c r="AA8" s="507">
        <f>SUM(V8:Z8)</f>
        <v>1</v>
      </c>
      <c r="AB8" s="106">
        <f t="shared" ref="AB8:AB43" si="1">AA8*100/G8</f>
        <v>0.32894736842105265</v>
      </c>
      <c r="AC8" s="508">
        <f>0+0+0+0+0</f>
        <v>0</v>
      </c>
      <c r="AD8" s="508">
        <f>0+0+0+0+0</f>
        <v>0</v>
      </c>
      <c r="AE8" s="508">
        <f>1+0+1+1+0</f>
        <v>3</v>
      </c>
    </row>
    <row r="9" spans="1:36" ht="15" thickBot="1" x14ac:dyDescent="0.25">
      <c r="A9" s="509" t="s">
        <v>3</v>
      </c>
      <c r="B9" s="504">
        <v>93</v>
      </c>
      <c r="C9" s="504">
        <v>78</v>
      </c>
      <c r="D9" s="504">
        <v>159</v>
      </c>
      <c r="E9" s="189">
        <v>126</v>
      </c>
      <c r="F9" s="504">
        <v>41</v>
      </c>
      <c r="G9" s="505">
        <f>SUM(B9:F9)</f>
        <v>497</v>
      </c>
      <c r="H9" s="506">
        <v>0</v>
      </c>
      <c r="I9" s="506">
        <v>0</v>
      </c>
      <c r="J9" s="506">
        <v>1</v>
      </c>
      <c r="K9" s="506">
        <v>0</v>
      </c>
      <c r="L9" s="507">
        <v>0</v>
      </c>
      <c r="M9" s="507">
        <f>SUM(H9:L9)</f>
        <v>1</v>
      </c>
      <c r="N9" s="106">
        <f>M9*100/G9</f>
        <v>0.2012072434607646</v>
      </c>
      <c r="O9" s="506">
        <v>0</v>
      </c>
      <c r="P9" s="506">
        <v>0</v>
      </c>
      <c r="Q9" s="506">
        <v>0</v>
      </c>
      <c r="R9" s="506">
        <v>3</v>
      </c>
      <c r="S9" s="506">
        <v>0</v>
      </c>
      <c r="T9" s="507">
        <f>SUM(O9:S9)</f>
        <v>3</v>
      </c>
      <c r="U9" s="94">
        <f t="shared" si="0"/>
        <v>0.60362173038229372</v>
      </c>
      <c r="V9" s="506">
        <v>0</v>
      </c>
      <c r="W9" s="506">
        <v>0</v>
      </c>
      <c r="X9" s="506">
        <v>0</v>
      </c>
      <c r="Y9" s="506">
        <v>0</v>
      </c>
      <c r="Z9" s="506">
        <v>1</v>
      </c>
      <c r="AA9" s="507">
        <f>SUM(V9:Z9)</f>
        <v>1</v>
      </c>
      <c r="AB9" s="106">
        <f t="shared" si="1"/>
        <v>0.2012072434607646</v>
      </c>
      <c r="AC9" s="508">
        <f>1+0+0+0+0</f>
        <v>1</v>
      </c>
      <c r="AD9" s="508">
        <f>0+0+0+0+0</f>
        <v>0</v>
      </c>
      <c r="AE9" s="508">
        <f>3+1+1+0+0</f>
        <v>5</v>
      </c>
    </row>
    <row r="10" spans="1:36" ht="24.75" thickBot="1" x14ac:dyDescent="0.25">
      <c r="A10" s="510" t="s">
        <v>23</v>
      </c>
      <c r="B10" s="504">
        <v>679</v>
      </c>
      <c r="C10" s="504">
        <v>225</v>
      </c>
      <c r="D10" s="504">
        <v>878</v>
      </c>
      <c r="E10" s="189">
        <v>815</v>
      </c>
      <c r="F10" s="504">
        <v>290</v>
      </c>
      <c r="G10" s="505">
        <f>SUM(B10:F10)</f>
        <v>2887</v>
      </c>
      <c r="H10" s="506">
        <v>2</v>
      </c>
      <c r="I10" s="506">
        <v>1</v>
      </c>
      <c r="J10" s="506">
        <v>1</v>
      </c>
      <c r="K10" s="506">
        <v>8</v>
      </c>
      <c r="L10" s="507">
        <v>1</v>
      </c>
      <c r="M10" s="507">
        <f>SUM(H10:L10)</f>
        <v>13</v>
      </c>
      <c r="N10" s="106">
        <f>M10*100/G10</f>
        <v>0.45029442327675789</v>
      </c>
      <c r="O10" s="506">
        <v>2</v>
      </c>
      <c r="P10" s="506">
        <v>4</v>
      </c>
      <c r="Q10" s="506">
        <v>6</v>
      </c>
      <c r="R10" s="506">
        <v>7</v>
      </c>
      <c r="S10" s="506">
        <v>1</v>
      </c>
      <c r="T10" s="511">
        <f>SUM(O10:S10)</f>
        <v>20</v>
      </c>
      <c r="U10" s="94">
        <f t="shared" si="0"/>
        <v>0.69276065119501218</v>
      </c>
      <c r="V10" s="506">
        <v>2</v>
      </c>
      <c r="W10" s="506">
        <v>0</v>
      </c>
      <c r="X10" s="506">
        <v>6</v>
      </c>
      <c r="Y10" s="506">
        <v>1</v>
      </c>
      <c r="Z10" s="506">
        <v>0</v>
      </c>
      <c r="AA10" s="507">
        <f>SUM(V10:Z10)</f>
        <v>9</v>
      </c>
      <c r="AB10" s="106">
        <f t="shared" si="1"/>
        <v>0.31174229303775547</v>
      </c>
      <c r="AC10" s="538">
        <f>1+1+1+0+2</f>
        <v>5</v>
      </c>
      <c r="AD10" s="508">
        <f>1+0+0+1+0</f>
        <v>2</v>
      </c>
      <c r="AE10" s="508">
        <f>10+3+14+6+2</f>
        <v>35</v>
      </c>
    </row>
    <row r="11" spans="1:36" ht="15.75" thickBot="1" x14ac:dyDescent="0.3">
      <c r="A11" s="512" t="s">
        <v>21</v>
      </c>
      <c r="B11" s="513">
        <f>SUM(B6:B10)</f>
        <v>1447</v>
      </c>
      <c r="C11" s="513">
        <f>SUM(C6:C10)</f>
        <v>572</v>
      </c>
      <c r="D11" s="513">
        <f>SUM(D6:D10)</f>
        <v>1982</v>
      </c>
      <c r="E11" s="513">
        <f>SUM(E6:E10)</f>
        <v>1824</v>
      </c>
      <c r="F11" s="513">
        <f>SUM(F6:F10)</f>
        <v>683</v>
      </c>
      <c r="G11" s="514">
        <f t="shared" ref="G11:M11" si="2">SUM(G6:G10)</f>
        <v>6508</v>
      </c>
      <c r="H11" s="514">
        <f>SUM(H6:H10)</f>
        <v>6</v>
      </c>
      <c r="I11" s="514">
        <f>SUM(I6:I10)</f>
        <v>2</v>
      </c>
      <c r="J11" s="514">
        <f t="shared" si="2"/>
        <v>11</v>
      </c>
      <c r="K11" s="514">
        <f t="shared" si="2"/>
        <v>12</v>
      </c>
      <c r="L11" s="514">
        <f t="shared" si="2"/>
        <v>1</v>
      </c>
      <c r="M11" s="326">
        <f t="shared" si="2"/>
        <v>32</v>
      </c>
      <c r="N11" s="515">
        <f t="shared" ref="N11:N43" si="3">M11*100/G11</f>
        <v>0.49170251997541486</v>
      </c>
      <c r="O11" s="516">
        <f>SUM(O6:O10)</f>
        <v>9</v>
      </c>
      <c r="P11" s="516">
        <f t="shared" ref="P11:T11" si="4">SUM(P6:P10)</f>
        <v>9</v>
      </c>
      <c r="Q11" s="516">
        <f t="shared" si="4"/>
        <v>17</v>
      </c>
      <c r="R11" s="516">
        <f>SUM(R6:R10)</f>
        <v>17</v>
      </c>
      <c r="S11" s="516">
        <f t="shared" si="4"/>
        <v>2</v>
      </c>
      <c r="T11" s="326">
        <f t="shared" si="4"/>
        <v>54</v>
      </c>
      <c r="U11" s="94">
        <f t="shared" si="0"/>
        <v>0.82974800245851255</v>
      </c>
      <c r="V11" s="516">
        <f t="shared" ref="V11:AA11" si="5">SUM(V6:V10)</f>
        <v>4</v>
      </c>
      <c r="W11" s="516">
        <f t="shared" si="5"/>
        <v>4</v>
      </c>
      <c r="X11" s="516">
        <f t="shared" si="5"/>
        <v>10</v>
      </c>
      <c r="Y11" s="516">
        <f>SUM(Y6:Y10)</f>
        <v>4</v>
      </c>
      <c r="Z11" s="516">
        <f t="shared" si="5"/>
        <v>6</v>
      </c>
      <c r="AA11" s="327">
        <f t="shared" si="5"/>
        <v>28</v>
      </c>
      <c r="AB11" s="106">
        <f t="shared" si="1"/>
        <v>0.43023970497848801</v>
      </c>
      <c r="AC11" s="132">
        <f>SUM(AC6:AC10)</f>
        <v>13</v>
      </c>
      <c r="AD11" s="115">
        <f>SUM(AD6:AD10)</f>
        <v>3</v>
      </c>
      <c r="AE11" s="115">
        <f>SUM(AE6:AE10)</f>
        <v>119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90"/>
      <c r="O13" s="54"/>
      <c r="P13" s="54"/>
      <c r="Q13" s="54"/>
      <c r="R13" s="54"/>
      <c r="S13" s="54"/>
      <c r="T13" s="86"/>
      <c r="U13" s="151"/>
      <c r="AA13" s="99"/>
      <c r="AC13" s="99"/>
      <c r="AD13" s="99"/>
      <c r="AE13" s="99"/>
    </row>
    <row r="14" spans="1:36" ht="15" thickBot="1" x14ac:dyDescent="0.25">
      <c r="A14" s="503" t="s">
        <v>4</v>
      </c>
      <c r="B14" s="504">
        <v>15</v>
      </c>
      <c r="C14" s="504">
        <f>0+2+0+1+0+0+0</f>
        <v>3</v>
      </c>
      <c r="D14" s="504">
        <v>27</v>
      </c>
      <c r="E14" s="504">
        <v>42</v>
      </c>
      <c r="F14" s="504">
        <v>5</v>
      </c>
      <c r="G14" s="505">
        <f>SUM(B14:F14)</f>
        <v>92</v>
      </c>
      <c r="H14" s="506">
        <v>0</v>
      </c>
      <c r="I14" s="506">
        <v>0</v>
      </c>
      <c r="J14" s="506">
        <v>0</v>
      </c>
      <c r="K14" s="506">
        <v>0</v>
      </c>
      <c r="L14" s="507">
        <v>0</v>
      </c>
      <c r="M14" s="508">
        <f>SUM(H14:L14)</f>
        <v>0</v>
      </c>
      <c r="N14" s="106">
        <f t="shared" si="3"/>
        <v>0</v>
      </c>
      <c r="O14" s="506">
        <v>0</v>
      </c>
      <c r="P14" s="506">
        <v>0</v>
      </c>
      <c r="Q14" s="506">
        <v>0</v>
      </c>
      <c r="R14" s="506">
        <v>0</v>
      </c>
      <c r="S14" s="506">
        <v>0</v>
      </c>
      <c r="T14" s="507">
        <f>SUM(O14:S14)</f>
        <v>0</v>
      </c>
      <c r="U14" s="94">
        <f t="shared" si="0"/>
        <v>0</v>
      </c>
      <c r="V14" s="506">
        <v>0</v>
      </c>
      <c r="W14" s="506">
        <v>0</v>
      </c>
      <c r="X14" s="506">
        <v>0</v>
      </c>
      <c r="Y14" s="506">
        <v>0</v>
      </c>
      <c r="Z14" s="506">
        <v>0</v>
      </c>
      <c r="AA14" s="508">
        <f>SUM(V14:Z14)</f>
        <v>0</v>
      </c>
      <c r="AB14" s="106">
        <f t="shared" si="1"/>
        <v>0</v>
      </c>
      <c r="AC14" s="508">
        <f>0+0+0+0+0</f>
        <v>0</v>
      </c>
      <c r="AD14" s="508">
        <f>0+0+0+0+0</f>
        <v>0</v>
      </c>
      <c r="AE14" s="508">
        <f>0+0+0+0+0</f>
        <v>0</v>
      </c>
    </row>
    <row r="15" spans="1:36" ht="15" thickBot="1" x14ac:dyDescent="0.25">
      <c r="A15" s="503" t="s">
        <v>5</v>
      </c>
      <c r="B15" s="504">
        <v>200</v>
      </c>
      <c r="C15" s="504">
        <f>10+13+10+15+10+8+1</f>
        <v>67</v>
      </c>
      <c r="D15" s="504">
        <v>327</v>
      </c>
      <c r="E15" s="504">
        <v>356</v>
      </c>
      <c r="F15" s="504">
        <v>112</v>
      </c>
      <c r="G15" s="505">
        <f t="shared" ref="G15:G24" si="6">SUM(B15:F15)</f>
        <v>1062</v>
      </c>
      <c r="H15" s="506">
        <v>0</v>
      </c>
      <c r="I15" s="506">
        <v>0</v>
      </c>
      <c r="J15" s="506">
        <v>0</v>
      </c>
      <c r="K15" s="506">
        <v>0</v>
      </c>
      <c r="L15" s="507">
        <v>1</v>
      </c>
      <c r="M15" s="507">
        <f>SUM(H15:L15)</f>
        <v>1</v>
      </c>
      <c r="N15" s="106">
        <f t="shared" si="3"/>
        <v>9.4161958568738227E-2</v>
      </c>
      <c r="O15" s="506">
        <v>0</v>
      </c>
      <c r="P15" s="506">
        <v>0</v>
      </c>
      <c r="Q15" s="506">
        <v>4</v>
      </c>
      <c r="R15" s="506">
        <v>3</v>
      </c>
      <c r="S15" s="506">
        <v>2</v>
      </c>
      <c r="T15" s="507">
        <f>SUM(O15:S15)</f>
        <v>9</v>
      </c>
      <c r="U15" s="94">
        <f t="shared" si="0"/>
        <v>0.84745762711864403</v>
      </c>
      <c r="V15" s="506">
        <v>0</v>
      </c>
      <c r="W15" s="506">
        <v>0</v>
      </c>
      <c r="X15" s="506">
        <v>1</v>
      </c>
      <c r="Y15" s="506">
        <v>0</v>
      </c>
      <c r="Z15" s="506">
        <v>1</v>
      </c>
      <c r="AA15" s="507">
        <f>SUM(V15:Z15)</f>
        <v>2</v>
      </c>
      <c r="AB15" s="106">
        <f t="shared" si="1"/>
        <v>0.18832391713747645</v>
      </c>
      <c r="AC15" s="508">
        <f t="shared" ref="AC15:AD17" si="7">0+0+0+0+0</f>
        <v>0</v>
      </c>
      <c r="AD15" s="508">
        <f t="shared" si="7"/>
        <v>0</v>
      </c>
      <c r="AE15" s="508">
        <f>5+3+6+9+6</f>
        <v>29</v>
      </c>
    </row>
    <row r="16" spans="1:36" ht="15" thickBot="1" x14ac:dyDescent="0.25">
      <c r="A16" s="503" t="s">
        <v>6</v>
      </c>
      <c r="B16" s="528">
        <v>32</v>
      </c>
      <c r="C16" s="504">
        <f>3+0+5+6+1+3+1</f>
        <v>19</v>
      </c>
      <c r="D16" s="504">
        <v>79</v>
      </c>
      <c r="E16" s="504">
        <v>69</v>
      </c>
      <c r="F16" s="504">
        <v>21</v>
      </c>
      <c r="G16" s="505">
        <f t="shared" si="6"/>
        <v>220</v>
      </c>
      <c r="H16" s="506">
        <v>0</v>
      </c>
      <c r="I16" s="506">
        <v>0</v>
      </c>
      <c r="J16" s="506">
        <v>0</v>
      </c>
      <c r="K16" s="506">
        <v>0</v>
      </c>
      <c r="L16" s="507">
        <v>0</v>
      </c>
      <c r="M16" s="508">
        <f t="shared" ref="M16:M20" si="8">SUM(H16:L16)</f>
        <v>0</v>
      </c>
      <c r="N16" s="106">
        <f t="shared" si="3"/>
        <v>0</v>
      </c>
      <c r="O16" s="506">
        <v>0</v>
      </c>
      <c r="P16" s="506">
        <v>0</v>
      </c>
      <c r="Q16" s="506">
        <v>2</v>
      </c>
      <c r="R16" s="506">
        <v>3</v>
      </c>
      <c r="S16" s="506">
        <v>0</v>
      </c>
      <c r="T16" s="507">
        <f>SUM(O16:S16)</f>
        <v>5</v>
      </c>
      <c r="U16" s="94">
        <f t="shared" si="0"/>
        <v>2.2727272727272729</v>
      </c>
      <c r="V16" s="506">
        <v>1</v>
      </c>
      <c r="W16" s="506">
        <v>0</v>
      </c>
      <c r="X16" s="506">
        <v>0</v>
      </c>
      <c r="Y16" s="506">
        <v>0</v>
      </c>
      <c r="Z16" s="506">
        <v>0</v>
      </c>
      <c r="AA16" s="507">
        <f>SUM(V16:Z16)</f>
        <v>1</v>
      </c>
      <c r="AB16" s="106">
        <f t="shared" si="1"/>
        <v>0.45454545454545453</v>
      </c>
      <c r="AC16" s="508">
        <f t="shared" si="7"/>
        <v>0</v>
      </c>
      <c r="AD16" s="508">
        <f t="shared" si="7"/>
        <v>0</v>
      </c>
      <c r="AE16" s="508">
        <f>1+1+0+0+0</f>
        <v>2</v>
      </c>
    </row>
    <row r="17" spans="1:34" ht="15" thickBot="1" x14ac:dyDescent="0.25">
      <c r="A17" s="503" t="s">
        <v>7</v>
      </c>
      <c r="B17" s="504">
        <v>29</v>
      </c>
      <c r="C17" s="504">
        <f>3+0+0+0+0+0+0</f>
        <v>3</v>
      </c>
      <c r="D17" s="504">
        <v>40</v>
      </c>
      <c r="E17" s="504">
        <v>23</v>
      </c>
      <c r="F17" s="504">
        <v>21</v>
      </c>
      <c r="G17" s="505">
        <f t="shared" si="6"/>
        <v>116</v>
      </c>
      <c r="H17" s="506">
        <v>0</v>
      </c>
      <c r="I17" s="506">
        <v>0</v>
      </c>
      <c r="J17" s="506">
        <v>0</v>
      </c>
      <c r="K17" s="506">
        <v>0</v>
      </c>
      <c r="L17" s="507">
        <v>0</v>
      </c>
      <c r="M17" s="507">
        <f>SUM(H17:L17)</f>
        <v>0</v>
      </c>
      <c r="N17" s="106">
        <f t="shared" si="3"/>
        <v>0</v>
      </c>
      <c r="O17" s="506">
        <v>0</v>
      </c>
      <c r="P17" s="506">
        <v>0</v>
      </c>
      <c r="Q17" s="506">
        <v>0</v>
      </c>
      <c r="R17" s="506">
        <v>0</v>
      </c>
      <c r="S17" s="506">
        <v>1</v>
      </c>
      <c r="T17" s="507">
        <f>SUM(O17:S17)</f>
        <v>1</v>
      </c>
      <c r="U17" s="94">
        <f t="shared" si="0"/>
        <v>0.86206896551724133</v>
      </c>
      <c r="V17" s="506">
        <v>0</v>
      </c>
      <c r="W17" s="506">
        <v>0</v>
      </c>
      <c r="X17" s="506">
        <v>1</v>
      </c>
      <c r="Y17" s="506">
        <v>0</v>
      </c>
      <c r="Z17" s="506">
        <v>0</v>
      </c>
      <c r="AA17" s="508">
        <f t="shared" ref="AA17:AA20" si="9">SUM(V17:Z17)</f>
        <v>1</v>
      </c>
      <c r="AB17" s="106">
        <f t="shared" si="1"/>
        <v>0.86206896551724133</v>
      </c>
      <c r="AC17" s="508">
        <f t="shared" si="7"/>
        <v>0</v>
      </c>
      <c r="AD17" s="508">
        <f t="shared" si="7"/>
        <v>0</v>
      </c>
      <c r="AE17" s="508">
        <f>0+0+0+0+0</f>
        <v>0</v>
      </c>
    </row>
    <row r="18" spans="1:34" ht="15" thickBot="1" x14ac:dyDescent="0.25">
      <c r="A18" s="503" t="s">
        <v>8</v>
      </c>
      <c r="B18" s="504">
        <v>13</v>
      </c>
      <c r="C18" s="504">
        <f>0+0+0+2+0+0+0</f>
        <v>2</v>
      </c>
      <c r="D18" s="504">
        <v>9</v>
      </c>
      <c r="E18" s="504">
        <v>8</v>
      </c>
      <c r="F18" s="504">
        <v>4</v>
      </c>
      <c r="G18" s="505">
        <f t="shared" si="6"/>
        <v>36</v>
      </c>
      <c r="H18" s="506">
        <v>0</v>
      </c>
      <c r="I18" s="506">
        <v>0</v>
      </c>
      <c r="J18" s="506">
        <v>0</v>
      </c>
      <c r="K18" s="506">
        <v>0</v>
      </c>
      <c r="L18" s="507">
        <v>0</v>
      </c>
      <c r="M18" s="507">
        <f>SUM(H18:L18)</f>
        <v>0</v>
      </c>
      <c r="N18" s="106">
        <f t="shared" si="3"/>
        <v>0</v>
      </c>
      <c r="O18" s="506">
        <v>0</v>
      </c>
      <c r="P18" s="506">
        <v>0</v>
      </c>
      <c r="Q18" s="506">
        <v>0</v>
      </c>
      <c r="R18" s="506">
        <v>0</v>
      </c>
      <c r="S18" s="506">
        <v>0</v>
      </c>
      <c r="T18" s="508">
        <f t="shared" ref="T18:T20" si="10">SUM(O18:S18)</f>
        <v>0</v>
      </c>
      <c r="U18" s="94">
        <f t="shared" si="0"/>
        <v>0</v>
      </c>
      <c r="V18" s="506">
        <v>0</v>
      </c>
      <c r="W18" s="506">
        <v>0</v>
      </c>
      <c r="X18" s="506">
        <v>0</v>
      </c>
      <c r="Y18" s="506">
        <v>0</v>
      </c>
      <c r="Z18" s="506">
        <v>0</v>
      </c>
      <c r="AA18" s="507">
        <f>SUM(V18:Z18)</f>
        <v>0</v>
      </c>
      <c r="AB18" s="106">
        <f t="shared" si="1"/>
        <v>0</v>
      </c>
      <c r="AC18" s="508">
        <f>0+0+1+0+0</f>
        <v>1</v>
      </c>
      <c r="AD18" s="508">
        <f>0+0+0+0+0</f>
        <v>0</v>
      </c>
      <c r="AE18" s="508">
        <f>0+0+0+0+0</f>
        <v>0</v>
      </c>
    </row>
    <row r="19" spans="1:34" ht="15" thickBot="1" x14ac:dyDescent="0.25">
      <c r="A19" s="503" t="s">
        <v>9</v>
      </c>
      <c r="B19" s="504">
        <v>8</v>
      </c>
      <c r="C19" s="504">
        <f>1+0+2+0+4+0+0</f>
        <v>7</v>
      </c>
      <c r="D19" s="504">
        <v>22</v>
      </c>
      <c r="E19" s="504">
        <v>10</v>
      </c>
      <c r="F19" s="504">
        <v>6</v>
      </c>
      <c r="G19" s="505">
        <f t="shared" si="6"/>
        <v>53</v>
      </c>
      <c r="H19" s="506">
        <v>0</v>
      </c>
      <c r="I19" s="506">
        <v>0</v>
      </c>
      <c r="J19" s="506">
        <v>0</v>
      </c>
      <c r="K19" s="506">
        <v>0</v>
      </c>
      <c r="L19" s="507">
        <v>0</v>
      </c>
      <c r="M19" s="508">
        <f t="shared" si="8"/>
        <v>0</v>
      </c>
      <c r="N19" s="106">
        <f t="shared" si="3"/>
        <v>0</v>
      </c>
      <c r="O19" s="506">
        <v>0</v>
      </c>
      <c r="P19" s="506">
        <v>0</v>
      </c>
      <c r="Q19" s="506">
        <v>0</v>
      </c>
      <c r="R19" s="506">
        <v>0</v>
      </c>
      <c r="S19" s="506">
        <v>0</v>
      </c>
      <c r="T19" s="508">
        <f t="shared" si="10"/>
        <v>0</v>
      </c>
      <c r="U19" s="94">
        <f t="shared" si="0"/>
        <v>0</v>
      </c>
      <c r="V19" s="506">
        <v>0</v>
      </c>
      <c r="W19" s="506">
        <v>0</v>
      </c>
      <c r="X19" s="506">
        <v>1</v>
      </c>
      <c r="Y19" s="506">
        <v>0</v>
      </c>
      <c r="Z19" s="506">
        <v>0</v>
      </c>
      <c r="AA19" s="508">
        <f t="shared" si="9"/>
        <v>1</v>
      </c>
      <c r="AB19" s="106">
        <f t="shared" si="1"/>
        <v>1.8867924528301887</v>
      </c>
      <c r="AC19" s="508">
        <f>0+0+0+0+0</f>
        <v>0</v>
      </c>
      <c r="AD19" s="508">
        <f>0+0+0+0+0</f>
        <v>0</v>
      </c>
      <c r="AE19" s="508">
        <f>0+6+0+0+0</f>
        <v>6</v>
      </c>
    </row>
    <row r="20" spans="1:34" ht="15" thickBot="1" x14ac:dyDescent="0.25">
      <c r="A20" s="503" t="s">
        <v>10</v>
      </c>
      <c r="B20" s="504">
        <v>7</v>
      </c>
      <c r="C20" s="504">
        <f>1+0+0+1+1+0+0</f>
        <v>3</v>
      </c>
      <c r="D20" s="504">
        <v>9</v>
      </c>
      <c r="E20" s="504">
        <v>20</v>
      </c>
      <c r="F20" s="504">
        <v>2</v>
      </c>
      <c r="G20" s="505">
        <f t="shared" si="6"/>
        <v>41</v>
      </c>
      <c r="H20" s="506">
        <v>0</v>
      </c>
      <c r="I20" s="506">
        <v>0</v>
      </c>
      <c r="J20" s="506">
        <v>0</v>
      </c>
      <c r="K20" s="506">
        <v>0</v>
      </c>
      <c r="L20" s="507">
        <v>0</v>
      </c>
      <c r="M20" s="508">
        <f t="shared" si="8"/>
        <v>0</v>
      </c>
      <c r="N20" s="106">
        <f t="shared" si="3"/>
        <v>0</v>
      </c>
      <c r="O20" s="506">
        <v>0</v>
      </c>
      <c r="P20" s="506">
        <v>0</v>
      </c>
      <c r="Q20" s="506">
        <v>0</v>
      </c>
      <c r="R20" s="506">
        <v>0</v>
      </c>
      <c r="S20" s="506">
        <v>0</v>
      </c>
      <c r="T20" s="508">
        <f t="shared" si="10"/>
        <v>0</v>
      </c>
      <c r="U20" s="94">
        <f t="shared" si="0"/>
        <v>0</v>
      </c>
      <c r="V20" s="506">
        <v>0</v>
      </c>
      <c r="W20" s="506">
        <v>0</v>
      </c>
      <c r="X20" s="506">
        <v>0</v>
      </c>
      <c r="Y20" s="506">
        <v>0</v>
      </c>
      <c r="Z20" s="506">
        <v>0</v>
      </c>
      <c r="AA20" s="508">
        <f t="shared" si="9"/>
        <v>0</v>
      </c>
      <c r="AB20" s="106">
        <f t="shared" si="1"/>
        <v>0</v>
      </c>
      <c r="AC20" s="508">
        <f>0+0+0+0+0</f>
        <v>0</v>
      </c>
      <c r="AD20" s="508">
        <f>0+0+0+0+0</f>
        <v>0</v>
      </c>
      <c r="AE20" s="508">
        <f>0+0+0+0+0</f>
        <v>0</v>
      </c>
    </row>
    <row r="21" spans="1:34" ht="15" thickBot="1" x14ac:dyDescent="0.25">
      <c r="A21" s="503" t="s">
        <v>11</v>
      </c>
      <c r="B21" s="504">
        <v>94</v>
      </c>
      <c r="C21" s="504">
        <f>3+1+3+6+0+5+1</f>
        <v>19</v>
      </c>
      <c r="D21" s="504">
        <v>125</v>
      </c>
      <c r="E21" s="504">
        <v>171</v>
      </c>
      <c r="F21" s="504">
        <v>44</v>
      </c>
      <c r="G21" s="505">
        <f t="shared" si="6"/>
        <v>453</v>
      </c>
      <c r="H21" s="506">
        <v>1</v>
      </c>
      <c r="I21" s="506">
        <v>0</v>
      </c>
      <c r="J21" s="506">
        <v>0</v>
      </c>
      <c r="K21" s="506">
        <v>0</v>
      </c>
      <c r="L21" s="507">
        <v>0</v>
      </c>
      <c r="M21" s="507">
        <f>SUM(H21:L21)</f>
        <v>1</v>
      </c>
      <c r="N21" s="106">
        <f t="shared" si="3"/>
        <v>0.22075055187637968</v>
      </c>
      <c r="O21" s="506">
        <v>1</v>
      </c>
      <c r="P21" s="506">
        <v>0</v>
      </c>
      <c r="Q21" s="506">
        <v>1</v>
      </c>
      <c r="R21" s="506">
        <v>2</v>
      </c>
      <c r="S21" s="506">
        <v>0</v>
      </c>
      <c r="T21" s="507">
        <f>SUM(O21:S21)</f>
        <v>4</v>
      </c>
      <c r="U21" s="94">
        <f t="shared" si="0"/>
        <v>0.88300220750551872</v>
      </c>
      <c r="V21" s="506">
        <v>2</v>
      </c>
      <c r="W21" s="506">
        <v>0</v>
      </c>
      <c r="X21" s="506">
        <v>1</v>
      </c>
      <c r="Y21" s="506">
        <v>0</v>
      </c>
      <c r="Z21" s="506">
        <v>3</v>
      </c>
      <c r="AA21" s="507">
        <f>SUM(V21:Z21)</f>
        <v>6</v>
      </c>
      <c r="AB21" s="106">
        <f t="shared" si="1"/>
        <v>1.3245033112582782</v>
      </c>
      <c r="AC21" s="508">
        <f>1+0+0+0+1</f>
        <v>2</v>
      </c>
      <c r="AD21" s="508">
        <f>0+0+0+0+0</f>
        <v>0</v>
      </c>
      <c r="AE21" s="508">
        <f>4+0+11+1+3</f>
        <v>19</v>
      </c>
    </row>
    <row r="22" spans="1:34" ht="15" thickBot="1" x14ac:dyDescent="0.25">
      <c r="A22" s="503" t="s">
        <v>12</v>
      </c>
      <c r="B22" s="504">
        <v>829</v>
      </c>
      <c r="C22" s="504">
        <f>44+42+53+91+67+73+22</f>
        <v>392</v>
      </c>
      <c r="D22" s="504">
        <v>1570</v>
      </c>
      <c r="E22" s="504">
        <v>1280</v>
      </c>
      <c r="F22" s="504">
        <v>537</v>
      </c>
      <c r="G22" s="505">
        <f t="shared" si="6"/>
        <v>4608</v>
      </c>
      <c r="H22" s="506">
        <v>6</v>
      </c>
      <c r="I22" s="506">
        <v>2</v>
      </c>
      <c r="J22" s="506">
        <v>7</v>
      </c>
      <c r="K22" s="506">
        <v>7</v>
      </c>
      <c r="L22" s="507">
        <v>6</v>
      </c>
      <c r="M22" s="507">
        <f>SUM(H22:L22)</f>
        <v>28</v>
      </c>
      <c r="N22" s="106">
        <f t="shared" si="3"/>
        <v>0.60763888888888884</v>
      </c>
      <c r="O22" s="506">
        <v>6</v>
      </c>
      <c r="P22" s="506">
        <v>2</v>
      </c>
      <c r="Q22" s="506">
        <v>3</v>
      </c>
      <c r="R22" s="506">
        <v>9</v>
      </c>
      <c r="S22" s="506">
        <v>3</v>
      </c>
      <c r="T22" s="507">
        <f>SUM(O22:S22)</f>
        <v>23</v>
      </c>
      <c r="U22" s="94">
        <f t="shared" si="0"/>
        <v>0.49913194444444442</v>
      </c>
      <c r="V22" s="506">
        <v>2</v>
      </c>
      <c r="W22" s="506">
        <v>1</v>
      </c>
      <c r="X22" s="506">
        <v>4</v>
      </c>
      <c r="Y22" s="506">
        <v>2</v>
      </c>
      <c r="Z22" s="506">
        <v>0</v>
      </c>
      <c r="AA22" s="507">
        <f>SUM(V22:Z22)</f>
        <v>9</v>
      </c>
      <c r="AB22" s="106">
        <f t="shared" si="1"/>
        <v>0.1953125</v>
      </c>
      <c r="AC22" s="508">
        <f>0+2+0+0+1</f>
        <v>3</v>
      </c>
      <c r="AD22" s="508">
        <f>0+1+0+1+0</f>
        <v>2</v>
      </c>
      <c r="AE22" s="508">
        <f>16+17+29+13+6</f>
        <v>81</v>
      </c>
    </row>
    <row r="23" spans="1:34" ht="15" thickBot="1" x14ac:dyDescent="0.25">
      <c r="A23" s="503" t="s">
        <v>13</v>
      </c>
      <c r="B23" s="504">
        <v>13</v>
      </c>
      <c r="C23" s="504">
        <f>0+1+9+3+0+0+1</f>
        <v>14</v>
      </c>
      <c r="D23" s="504">
        <v>10</v>
      </c>
      <c r="E23" s="504">
        <v>2</v>
      </c>
      <c r="F23" s="504">
        <v>4</v>
      </c>
      <c r="G23" s="505">
        <f t="shared" si="6"/>
        <v>43</v>
      </c>
      <c r="H23" s="506">
        <v>0</v>
      </c>
      <c r="I23" s="506">
        <v>0</v>
      </c>
      <c r="J23" s="506">
        <v>0</v>
      </c>
      <c r="K23" s="506">
        <v>0</v>
      </c>
      <c r="L23" s="507">
        <v>0</v>
      </c>
      <c r="M23" s="507">
        <f>SUM(H23:L23)</f>
        <v>0</v>
      </c>
      <c r="N23" s="106">
        <f t="shared" si="3"/>
        <v>0</v>
      </c>
      <c r="O23" s="506">
        <v>2</v>
      </c>
      <c r="P23" s="506">
        <v>0</v>
      </c>
      <c r="Q23" s="506">
        <v>0</v>
      </c>
      <c r="R23" s="506">
        <v>0</v>
      </c>
      <c r="S23" s="506">
        <v>0</v>
      </c>
      <c r="T23" s="507">
        <f>SUM(O23:S23)</f>
        <v>2</v>
      </c>
      <c r="U23" s="94">
        <f t="shared" si="0"/>
        <v>4.6511627906976747</v>
      </c>
      <c r="V23" s="506">
        <v>0</v>
      </c>
      <c r="W23" s="506">
        <v>0</v>
      </c>
      <c r="X23" s="506">
        <v>0</v>
      </c>
      <c r="Y23" s="506">
        <v>0</v>
      </c>
      <c r="Z23" s="506">
        <v>0</v>
      </c>
      <c r="AA23" s="507">
        <f>SUM(V23:Z23)</f>
        <v>0</v>
      </c>
      <c r="AB23" s="106">
        <f t="shared" si="1"/>
        <v>0</v>
      </c>
      <c r="AC23" s="508">
        <f>0+0+0+0+1</f>
        <v>1</v>
      </c>
      <c r="AD23" s="508">
        <f>0+0+0+0+0</f>
        <v>0</v>
      </c>
      <c r="AE23" s="508">
        <f>1+0+0+0+0</f>
        <v>1</v>
      </c>
    </row>
    <row r="24" spans="1:34" ht="24.75" thickBot="1" x14ac:dyDescent="0.25">
      <c r="A24" s="510" t="s">
        <v>23</v>
      </c>
      <c r="B24" s="518">
        <v>466</v>
      </c>
      <c r="C24" s="518">
        <f>23+28+42+33+45+36+12</f>
        <v>219</v>
      </c>
      <c r="D24" s="504">
        <v>615</v>
      </c>
      <c r="E24" s="518">
        <v>800</v>
      </c>
      <c r="F24" s="504">
        <v>255</v>
      </c>
      <c r="G24" s="505">
        <f t="shared" si="6"/>
        <v>2355</v>
      </c>
      <c r="H24" s="519">
        <v>1</v>
      </c>
      <c r="I24" s="506">
        <v>0</v>
      </c>
      <c r="J24" s="506">
        <v>2</v>
      </c>
      <c r="K24" s="506">
        <v>7</v>
      </c>
      <c r="L24" s="507">
        <v>0</v>
      </c>
      <c r="M24" s="507">
        <f>SUM(H24:L24)</f>
        <v>10</v>
      </c>
      <c r="N24" s="106">
        <f t="shared" si="3"/>
        <v>0.42462845010615713</v>
      </c>
      <c r="O24" s="519">
        <v>3</v>
      </c>
      <c r="P24" s="506">
        <v>1</v>
      </c>
      <c r="Q24" s="519">
        <v>5</v>
      </c>
      <c r="R24" s="519">
        <v>16</v>
      </c>
      <c r="S24" s="506">
        <v>0</v>
      </c>
      <c r="T24" s="507">
        <f>SUM(O24:S24)</f>
        <v>25</v>
      </c>
      <c r="U24" s="94">
        <f t="shared" si="0"/>
        <v>1.0615711252653928</v>
      </c>
      <c r="V24" s="519">
        <v>0</v>
      </c>
      <c r="W24" s="519">
        <v>1</v>
      </c>
      <c r="X24" s="519">
        <v>1</v>
      </c>
      <c r="Y24" s="519">
        <v>2</v>
      </c>
      <c r="Z24" s="519">
        <v>0</v>
      </c>
      <c r="AA24" s="507">
        <f>SUM(V24:Z24)</f>
        <v>4</v>
      </c>
      <c r="AB24" s="106">
        <f t="shared" si="1"/>
        <v>0.16985138004246284</v>
      </c>
      <c r="AC24" s="508">
        <f>0+0+0+0+0</f>
        <v>0</v>
      </c>
      <c r="AD24" s="508">
        <f>0+0+1+1+0</f>
        <v>2</v>
      </c>
      <c r="AE24" s="508">
        <f>13+5+6+8+1</f>
        <v>33</v>
      </c>
    </row>
    <row r="25" spans="1:34" ht="15.75" thickBot="1" x14ac:dyDescent="0.3">
      <c r="A25" s="520" t="s">
        <v>22</v>
      </c>
      <c r="B25" s="521">
        <f>SUM(B14:B24)</f>
        <v>1706</v>
      </c>
      <c r="C25" s="521">
        <f t="shared" ref="C25:I25" si="11">SUM(C14:C24)</f>
        <v>748</v>
      </c>
      <c r="D25" s="521">
        <f t="shared" si="11"/>
        <v>2833</v>
      </c>
      <c r="E25" s="521">
        <f t="shared" si="11"/>
        <v>2781</v>
      </c>
      <c r="F25" s="521">
        <f t="shared" si="11"/>
        <v>1011</v>
      </c>
      <c r="G25" s="514">
        <f t="shared" si="11"/>
        <v>9079</v>
      </c>
      <c r="H25" s="522">
        <f t="shared" si="11"/>
        <v>8</v>
      </c>
      <c r="I25" s="522">
        <f t="shared" si="11"/>
        <v>2</v>
      </c>
      <c r="J25" s="522">
        <f>SUM(J14:J24)</f>
        <v>9</v>
      </c>
      <c r="K25" s="522">
        <f t="shared" ref="K25:L25" si="12">SUM(K14:K24)</f>
        <v>14</v>
      </c>
      <c r="L25" s="522">
        <f t="shared" si="12"/>
        <v>7</v>
      </c>
      <c r="M25" s="326">
        <f>SUM(M14:M24)</f>
        <v>40</v>
      </c>
      <c r="N25" s="515">
        <f t="shared" si="3"/>
        <v>0.44057715607445752</v>
      </c>
      <c r="O25" s="523">
        <f t="shared" ref="O25:T25" si="13">SUM(O14:O24)</f>
        <v>12</v>
      </c>
      <c r="P25" s="523">
        <f t="shared" si="13"/>
        <v>3</v>
      </c>
      <c r="Q25" s="523">
        <f t="shared" si="13"/>
        <v>15</v>
      </c>
      <c r="R25" s="523">
        <f>SUM(R14:R24)</f>
        <v>33</v>
      </c>
      <c r="S25" s="523">
        <f t="shared" si="13"/>
        <v>6</v>
      </c>
      <c r="T25" s="326">
        <f t="shared" si="13"/>
        <v>69</v>
      </c>
      <c r="U25" s="94">
        <f t="shared" si="0"/>
        <v>0.75999559422843921</v>
      </c>
      <c r="V25" s="523">
        <f t="shared" ref="V25:AA25" si="14">SUM(V14:V24)</f>
        <v>5</v>
      </c>
      <c r="W25" s="523">
        <f t="shared" si="14"/>
        <v>2</v>
      </c>
      <c r="X25" s="523">
        <f t="shared" si="14"/>
        <v>9</v>
      </c>
      <c r="Y25" s="523">
        <f t="shared" si="14"/>
        <v>4</v>
      </c>
      <c r="Z25" s="523">
        <f t="shared" si="14"/>
        <v>4</v>
      </c>
      <c r="AA25" s="326">
        <f t="shared" si="14"/>
        <v>24</v>
      </c>
      <c r="AB25" s="106">
        <f t="shared" si="1"/>
        <v>0.26434629364467455</v>
      </c>
      <c r="AC25" s="132">
        <f>SUM(AC14:AC24)</f>
        <v>7</v>
      </c>
      <c r="AD25" s="115">
        <f>SUM(AD14:AD24)</f>
        <v>4</v>
      </c>
      <c r="AE25" s="115">
        <f>SUM(AE14:AE24)</f>
        <v>171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95"/>
      <c r="O27" s="74"/>
      <c r="P27" s="74"/>
      <c r="Q27" s="74"/>
      <c r="R27" s="74"/>
      <c r="S27" s="74"/>
      <c r="T27" s="88"/>
      <c r="U27" s="151"/>
      <c r="AA27" s="99"/>
      <c r="AC27" s="99"/>
      <c r="AD27" s="113"/>
      <c r="AE27" s="99"/>
    </row>
    <row r="28" spans="1:34" ht="15" thickBot="1" x14ac:dyDescent="0.25">
      <c r="A28" s="503" t="s">
        <v>15</v>
      </c>
      <c r="B28" s="504">
        <v>2815</v>
      </c>
      <c r="C28" s="504">
        <v>1801</v>
      </c>
      <c r="D28" s="504">
        <v>3602</v>
      </c>
      <c r="E28" s="504">
        <v>3044</v>
      </c>
      <c r="F28" s="504">
        <v>2915</v>
      </c>
      <c r="G28" s="505">
        <f>SUM(B28:F28)</f>
        <v>14177</v>
      </c>
      <c r="H28" s="506">
        <v>3</v>
      </c>
      <c r="I28" s="506">
        <v>2</v>
      </c>
      <c r="J28" s="506">
        <v>1</v>
      </c>
      <c r="K28" s="506">
        <v>5</v>
      </c>
      <c r="L28" s="507">
        <v>0</v>
      </c>
      <c r="M28" s="507">
        <f t="shared" ref="M28:M36" si="15">SUM(H28:L28)</f>
        <v>11</v>
      </c>
      <c r="N28" s="94">
        <f t="shared" si="3"/>
        <v>7.7590463426677012E-2</v>
      </c>
      <c r="O28" s="506">
        <v>4</v>
      </c>
      <c r="P28" s="506">
        <v>3</v>
      </c>
      <c r="Q28" s="506">
        <v>0</v>
      </c>
      <c r="R28" s="506">
        <v>11</v>
      </c>
      <c r="S28" s="506">
        <v>5</v>
      </c>
      <c r="T28" s="524">
        <f>SUM(O28:S28)</f>
        <v>23</v>
      </c>
      <c r="U28" s="94">
        <f t="shared" si="0"/>
        <v>0.16223460534668829</v>
      </c>
      <c r="V28" s="506">
        <v>1</v>
      </c>
      <c r="W28" s="506">
        <v>1</v>
      </c>
      <c r="X28" s="506">
        <v>1</v>
      </c>
      <c r="Y28" s="506">
        <v>2</v>
      </c>
      <c r="Z28" s="506">
        <v>0</v>
      </c>
      <c r="AA28" s="507">
        <f t="shared" ref="AA28:AA36" si="16">SUM(V28:Z28)</f>
        <v>5</v>
      </c>
      <c r="AB28" s="106">
        <f t="shared" si="1"/>
        <v>3.5268392466671371E-2</v>
      </c>
      <c r="AC28" s="508">
        <f>0+0+0+1+1</f>
        <v>2</v>
      </c>
      <c r="AD28" s="508">
        <f>0+1+0+0+0</f>
        <v>1</v>
      </c>
      <c r="AE28" s="508">
        <f>5+8+7+13+3</f>
        <v>36</v>
      </c>
    </row>
    <row r="29" spans="1:34" ht="15" thickBot="1" x14ac:dyDescent="0.25">
      <c r="A29" s="503" t="s">
        <v>16</v>
      </c>
      <c r="B29" s="504">
        <v>1141</v>
      </c>
      <c r="C29" s="504">
        <v>731</v>
      </c>
      <c r="D29" s="504">
        <v>1623</v>
      </c>
      <c r="E29" s="504">
        <v>1411</v>
      </c>
      <c r="F29" s="504">
        <v>853</v>
      </c>
      <c r="G29" s="505">
        <f t="shared" ref="G29:G36" si="17">SUM(B29:F29)</f>
        <v>5759</v>
      </c>
      <c r="H29" s="506">
        <v>3</v>
      </c>
      <c r="I29" s="506">
        <v>3</v>
      </c>
      <c r="J29" s="506">
        <v>10</v>
      </c>
      <c r="K29" s="506">
        <v>5</v>
      </c>
      <c r="L29" s="507">
        <v>3</v>
      </c>
      <c r="M29" s="507">
        <f t="shared" si="15"/>
        <v>24</v>
      </c>
      <c r="N29" s="94">
        <f t="shared" si="3"/>
        <v>0.41673901719048445</v>
      </c>
      <c r="O29" s="506">
        <v>4</v>
      </c>
      <c r="P29" s="506">
        <v>0</v>
      </c>
      <c r="Q29" s="506">
        <v>8</v>
      </c>
      <c r="R29" s="506">
        <v>5</v>
      </c>
      <c r="S29" s="506">
        <v>3</v>
      </c>
      <c r="T29" s="507">
        <f t="shared" ref="T29:T36" si="18">SUM(O29:S29)</f>
        <v>20</v>
      </c>
      <c r="U29" s="94">
        <f t="shared" si="0"/>
        <v>0.34728251432540369</v>
      </c>
      <c r="V29" s="506">
        <v>0</v>
      </c>
      <c r="W29" s="506">
        <v>4</v>
      </c>
      <c r="X29" s="506">
        <v>3</v>
      </c>
      <c r="Y29" s="506">
        <v>1</v>
      </c>
      <c r="Z29" s="506">
        <v>0</v>
      </c>
      <c r="AA29" s="507">
        <f t="shared" si="16"/>
        <v>8</v>
      </c>
      <c r="AB29" s="106">
        <f t="shared" si="1"/>
        <v>0.13891300573016149</v>
      </c>
      <c r="AC29" s="508">
        <f>0+4+0+2+2</f>
        <v>8</v>
      </c>
      <c r="AD29" s="508">
        <f>0+0+1+0+3</f>
        <v>4</v>
      </c>
      <c r="AE29" s="508">
        <f>2+5+21+6+3</f>
        <v>37</v>
      </c>
    </row>
    <row r="30" spans="1:34" ht="15" thickBot="1" x14ac:dyDescent="0.25">
      <c r="A30" s="503" t="s">
        <v>35</v>
      </c>
      <c r="B30" s="504">
        <v>871</v>
      </c>
      <c r="C30" s="504">
        <v>621</v>
      </c>
      <c r="D30" s="504">
        <v>913</v>
      </c>
      <c r="E30" s="504">
        <v>864</v>
      </c>
      <c r="F30" s="504">
        <v>1110</v>
      </c>
      <c r="G30" s="505">
        <f t="shared" si="17"/>
        <v>4379</v>
      </c>
      <c r="H30" s="506">
        <v>1</v>
      </c>
      <c r="I30" s="506">
        <v>2</v>
      </c>
      <c r="J30" s="506">
        <v>0</v>
      </c>
      <c r="K30" s="506">
        <v>2</v>
      </c>
      <c r="L30" s="507">
        <v>0</v>
      </c>
      <c r="M30" s="507">
        <f t="shared" si="15"/>
        <v>5</v>
      </c>
      <c r="N30" s="94">
        <f t="shared" si="3"/>
        <v>0.11418131993605846</v>
      </c>
      <c r="O30" s="506">
        <v>3</v>
      </c>
      <c r="P30" s="506">
        <v>3</v>
      </c>
      <c r="Q30" s="506">
        <v>4</v>
      </c>
      <c r="R30" s="506">
        <v>6</v>
      </c>
      <c r="S30" s="506">
        <v>2</v>
      </c>
      <c r="T30" s="507">
        <f t="shared" si="18"/>
        <v>18</v>
      </c>
      <c r="U30" s="94">
        <f t="shared" si="0"/>
        <v>0.41105275176981043</v>
      </c>
      <c r="V30" s="506">
        <v>0</v>
      </c>
      <c r="W30" s="506">
        <v>0</v>
      </c>
      <c r="X30" s="506">
        <v>0</v>
      </c>
      <c r="Y30" s="506">
        <v>0</v>
      </c>
      <c r="Z30" s="506">
        <v>0</v>
      </c>
      <c r="AA30" s="507">
        <f t="shared" si="16"/>
        <v>0</v>
      </c>
      <c r="AB30" s="106">
        <f t="shared" si="1"/>
        <v>0</v>
      </c>
      <c r="AC30" s="508">
        <f>1+0+0+2+0</f>
        <v>3</v>
      </c>
      <c r="AD30" s="508">
        <f>0+0+1+0+0</f>
        <v>1</v>
      </c>
      <c r="AE30" s="508">
        <f>2+5+3+8+0</f>
        <v>18</v>
      </c>
    </row>
    <row r="31" spans="1:34" ht="15" thickBot="1" x14ac:dyDescent="0.25">
      <c r="A31" s="503" t="s">
        <v>17</v>
      </c>
      <c r="B31" s="504">
        <v>6622</v>
      </c>
      <c r="C31" s="504">
        <v>3630</v>
      </c>
      <c r="D31" s="504">
        <v>8366</v>
      </c>
      <c r="E31" s="504">
        <v>7356</v>
      </c>
      <c r="F31" s="504">
        <v>5621</v>
      </c>
      <c r="G31" s="505">
        <f t="shared" si="17"/>
        <v>31595</v>
      </c>
      <c r="H31" s="506">
        <v>2</v>
      </c>
      <c r="I31" s="506">
        <v>1</v>
      </c>
      <c r="J31" s="506">
        <v>3</v>
      </c>
      <c r="K31" s="506">
        <v>6</v>
      </c>
      <c r="L31" s="507">
        <v>2</v>
      </c>
      <c r="M31" s="507">
        <f t="shared" si="15"/>
        <v>14</v>
      </c>
      <c r="N31" s="94">
        <f t="shared" si="3"/>
        <v>4.431080867225827E-2</v>
      </c>
      <c r="O31" s="506">
        <v>3</v>
      </c>
      <c r="P31" s="506">
        <v>1</v>
      </c>
      <c r="Q31" s="506">
        <v>5</v>
      </c>
      <c r="R31" s="506">
        <v>7</v>
      </c>
      <c r="S31" s="506">
        <v>2</v>
      </c>
      <c r="T31" s="507">
        <f t="shared" si="18"/>
        <v>18</v>
      </c>
      <c r="U31" s="94">
        <f t="shared" si="0"/>
        <v>5.6971039721474916E-2</v>
      </c>
      <c r="V31" s="506">
        <v>3</v>
      </c>
      <c r="W31" s="506">
        <v>1</v>
      </c>
      <c r="X31" s="506">
        <v>3</v>
      </c>
      <c r="Y31" s="506">
        <v>2</v>
      </c>
      <c r="Z31" s="506">
        <v>1</v>
      </c>
      <c r="AA31" s="507">
        <f t="shared" si="16"/>
        <v>10</v>
      </c>
      <c r="AB31" s="106">
        <f t="shared" si="1"/>
        <v>3.1650577623041617E-2</v>
      </c>
      <c r="AC31" s="508">
        <f>0+1+0+0+1</f>
        <v>2</v>
      </c>
      <c r="AD31" s="508">
        <f>0+0+0+0+0</f>
        <v>0</v>
      </c>
      <c r="AE31" s="508">
        <f>12+9+31+29+1</f>
        <v>82</v>
      </c>
      <c r="AH31" t="s">
        <v>53</v>
      </c>
    </row>
    <row r="32" spans="1:34" ht="15" thickBot="1" x14ac:dyDescent="0.25">
      <c r="A32" s="503" t="s">
        <v>18</v>
      </c>
      <c r="B32" s="504">
        <v>1618</v>
      </c>
      <c r="C32" s="504">
        <v>1166</v>
      </c>
      <c r="D32" s="504">
        <v>1106</v>
      </c>
      <c r="E32" s="504">
        <v>1557</v>
      </c>
      <c r="F32" s="504">
        <v>2944</v>
      </c>
      <c r="G32" s="505">
        <f t="shared" si="17"/>
        <v>8391</v>
      </c>
      <c r="H32" s="506">
        <v>3</v>
      </c>
      <c r="I32" s="506">
        <v>1</v>
      </c>
      <c r="J32" s="506">
        <v>2</v>
      </c>
      <c r="K32" s="506">
        <v>0</v>
      </c>
      <c r="L32" s="507">
        <v>3</v>
      </c>
      <c r="M32" s="507">
        <f t="shared" si="15"/>
        <v>9</v>
      </c>
      <c r="N32" s="94">
        <f t="shared" si="3"/>
        <v>0.10725777618877369</v>
      </c>
      <c r="O32" s="506">
        <v>3</v>
      </c>
      <c r="P32" s="506">
        <v>3</v>
      </c>
      <c r="Q32" s="506">
        <v>1</v>
      </c>
      <c r="R32" s="506">
        <v>1</v>
      </c>
      <c r="S32" s="506">
        <v>4</v>
      </c>
      <c r="T32" s="507">
        <f t="shared" si="18"/>
        <v>12</v>
      </c>
      <c r="U32" s="94">
        <f t="shared" si="0"/>
        <v>0.14301036825169824</v>
      </c>
      <c r="V32" s="506">
        <v>3</v>
      </c>
      <c r="W32" s="506">
        <v>0</v>
      </c>
      <c r="X32" s="506">
        <v>1</v>
      </c>
      <c r="Y32" s="506">
        <v>2</v>
      </c>
      <c r="Z32" s="506">
        <v>2</v>
      </c>
      <c r="AA32" s="507">
        <f t="shared" si="16"/>
        <v>8</v>
      </c>
      <c r="AB32" s="106">
        <f t="shared" si="1"/>
        <v>9.5340245501132168E-2</v>
      </c>
      <c r="AC32" s="508">
        <f>2+0+0+0+0</f>
        <v>2</v>
      </c>
      <c r="AD32" s="508">
        <f>0+1+0+0+0</f>
        <v>1</v>
      </c>
      <c r="AE32" s="508">
        <f>3+1+8+16+1</f>
        <v>29</v>
      </c>
    </row>
    <row r="33" spans="1:32" ht="15" thickBot="1" x14ac:dyDescent="0.25">
      <c r="A33" s="503" t="s">
        <v>19</v>
      </c>
      <c r="B33" s="504">
        <v>8576</v>
      </c>
      <c r="C33" s="504">
        <v>5321</v>
      </c>
      <c r="D33" s="504">
        <v>10989</v>
      </c>
      <c r="E33" s="504">
        <v>8905</v>
      </c>
      <c r="F33" s="504">
        <v>6350</v>
      </c>
      <c r="G33" s="505">
        <f t="shared" si="17"/>
        <v>40141</v>
      </c>
      <c r="H33" s="506">
        <v>24</v>
      </c>
      <c r="I33" s="506">
        <v>15</v>
      </c>
      <c r="J33" s="506">
        <v>37</v>
      </c>
      <c r="K33" s="506">
        <v>31</v>
      </c>
      <c r="L33" s="507">
        <v>16</v>
      </c>
      <c r="M33" s="507">
        <f t="shared" si="15"/>
        <v>123</v>
      </c>
      <c r="N33" s="94">
        <f t="shared" si="3"/>
        <v>0.30641986995839665</v>
      </c>
      <c r="O33" s="506">
        <v>16</v>
      </c>
      <c r="P33" s="506">
        <v>20</v>
      </c>
      <c r="Q33" s="506">
        <v>51</v>
      </c>
      <c r="R33" s="506">
        <v>33</v>
      </c>
      <c r="S33" s="506">
        <v>10</v>
      </c>
      <c r="T33" s="507">
        <f t="shared" si="18"/>
        <v>130</v>
      </c>
      <c r="U33" s="94">
        <f t="shared" si="0"/>
        <v>0.32385839914302084</v>
      </c>
      <c r="V33" s="506">
        <v>20</v>
      </c>
      <c r="W33" s="506">
        <v>15</v>
      </c>
      <c r="X33" s="506">
        <v>24</v>
      </c>
      <c r="Y33" s="506">
        <v>4</v>
      </c>
      <c r="Z33" s="506">
        <v>4</v>
      </c>
      <c r="AA33" s="507">
        <f t="shared" si="16"/>
        <v>67</v>
      </c>
      <c r="AB33" s="106">
        <f t="shared" si="1"/>
        <v>0.16691163648140306</v>
      </c>
      <c r="AC33" s="508">
        <f>14+11+5+6+3</f>
        <v>39</v>
      </c>
      <c r="AD33" s="508">
        <f>1+1+2+4+2</f>
        <v>10</v>
      </c>
      <c r="AE33" s="508">
        <f>30+43+108+54+13</f>
        <v>248</v>
      </c>
    </row>
    <row r="34" spans="1:32" ht="15" thickBot="1" x14ac:dyDescent="0.25">
      <c r="A34" s="503" t="s">
        <v>20</v>
      </c>
      <c r="B34" s="504">
        <v>7128</v>
      </c>
      <c r="C34" s="504">
        <v>4820</v>
      </c>
      <c r="D34" s="504">
        <v>8442</v>
      </c>
      <c r="E34" s="504">
        <v>9113</v>
      </c>
      <c r="F34" s="504">
        <v>4428</v>
      </c>
      <c r="G34" s="505">
        <f t="shared" si="17"/>
        <v>33931</v>
      </c>
      <c r="H34" s="506">
        <v>12</v>
      </c>
      <c r="I34" s="506">
        <v>4</v>
      </c>
      <c r="J34" s="506">
        <v>21</v>
      </c>
      <c r="K34" s="506">
        <v>12</v>
      </c>
      <c r="L34" s="507">
        <v>1</v>
      </c>
      <c r="M34" s="507">
        <f t="shared" si="15"/>
        <v>50</v>
      </c>
      <c r="N34" s="94">
        <f t="shared" si="3"/>
        <v>0.14735787333117209</v>
      </c>
      <c r="O34" s="506">
        <v>12</v>
      </c>
      <c r="P34" s="506">
        <v>7</v>
      </c>
      <c r="Q34" s="506">
        <v>12</v>
      </c>
      <c r="R34" s="506">
        <v>20</v>
      </c>
      <c r="S34" s="506">
        <v>4</v>
      </c>
      <c r="T34" s="507">
        <f t="shared" si="18"/>
        <v>55</v>
      </c>
      <c r="U34" s="94">
        <f t="shared" si="0"/>
        <v>0.16209366066428929</v>
      </c>
      <c r="V34" s="506">
        <v>16</v>
      </c>
      <c r="W34" s="506">
        <v>7</v>
      </c>
      <c r="X34" s="506">
        <v>8</v>
      </c>
      <c r="Y34" s="506">
        <v>3</v>
      </c>
      <c r="Z34" s="506">
        <v>3</v>
      </c>
      <c r="AA34" s="507">
        <f t="shared" si="16"/>
        <v>37</v>
      </c>
      <c r="AB34" s="106">
        <f t="shared" si="1"/>
        <v>0.10904482626506734</v>
      </c>
      <c r="AC34" s="508">
        <f>6+5+1+9+1</f>
        <v>22</v>
      </c>
      <c r="AD34" s="508">
        <f>2+0+1+1+1</f>
        <v>5</v>
      </c>
      <c r="AE34" s="508">
        <f>31+29+78+36+9</f>
        <v>183</v>
      </c>
    </row>
    <row r="35" spans="1:32" ht="15" thickBot="1" x14ac:dyDescent="0.25">
      <c r="A35" s="503" t="s">
        <v>25</v>
      </c>
      <c r="B35" s="504">
        <v>236</v>
      </c>
      <c r="C35" s="504">
        <v>108</v>
      </c>
      <c r="D35" s="504">
        <v>1290</v>
      </c>
      <c r="E35" s="504">
        <v>132</v>
      </c>
      <c r="F35" s="504">
        <v>111</v>
      </c>
      <c r="G35" s="505">
        <f t="shared" si="17"/>
        <v>1877</v>
      </c>
      <c r="H35" s="506">
        <v>0</v>
      </c>
      <c r="I35" s="506">
        <v>15</v>
      </c>
      <c r="J35" s="506">
        <v>1</v>
      </c>
      <c r="K35" s="506">
        <v>0</v>
      </c>
      <c r="L35" s="507">
        <v>0</v>
      </c>
      <c r="M35" s="507">
        <f t="shared" si="15"/>
        <v>16</v>
      </c>
      <c r="N35" s="94">
        <f t="shared" si="3"/>
        <v>0.85242408098028766</v>
      </c>
      <c r="O35" s="506">
        <v>1</v>
      </c>
      <c r="P35" s="506">
        <v>0</v>
      </c>
      <c r="Q35" s="506">
        <v>1</v>
      </c>
      <c r="R35" s="506">
        <v>1</v>
      </c>
      <c r="S35" s="506">
        <v>0</v>
      </c>
      <c r="T35" s="507">
        <f t="shared" si="18"/>
        <v>3</v>
      </c>
      <c r="U35" s="94">
        <f t="shared" si="0"/>
        <v>0.15982951518380395</v>
      </c>
      <c r="V35" s="506">
        <v>1</v>
      </c>
      <c r="W35" s="506">
        <v>0</v>
      </c>
      <c r="X35" s="506">
        <v>0</v>
      </c>
      <c r="Y35" s="506">
        <v>0</v>
      </c>
      <c r="Z35" s="506">
        <v>0</v>
      </c>
      <c r="AA35" s="507">
        <f t="shared" si="16"/>
        <v>1</v>
      </c>
      <c r="AB35" s="106">
        <f t="shared" si="1"/>
        <v>5.3276505061267979E-2</v>
      </c>
      <c r="AC35" s="508">
        <f>1+0+0+0+0</f>
        <v>1</v>
      </c>
      <c r="AD35" s="508">
        <f>0+0+0+0+0</f>
        <v>0</v>
      </c>
      <c r="AE35" s="508">
        <f>2+1+1+2+0</f>
        <v>6</v>
      </c>
    </row>
    <row r="36" spans="1:32" ht="15" thickBot="1" x14ac:dyDescent="0.25">
      <c r="A36" s="503" t="s">
        <v>26</v>
      </c>
      <c r="B36" s="504">
        <v>88777</v>
      </c>
      <c r="C36" s="504">
        <v>58236</v>
      </c>
      <c r="D36" s="504">
        <v>128607</v>
      </c>
      <c r="E36" s="504">
        <v>117069</v>
      </c>
      <c r="F36" s="504">
        <v>67522</v>
      </c>
      <c r="G36" s="505">
        <f t="shared" si="17"/>
        <v>460211</v>
      </c>
      <c r="H36" s="506">
        <v>136</v>
      </c>
      <c r="I36" s="506">
        <v>50</v>
      </c>
      <c r="J36" s="506">
        <v>224</v>
      </c>
      <c r="K36" s="506">
        <v>160</v>
      </c>
      <c r="L36" s="507">
        <v>55</v>
      </c>
      <c r="M36" s="507">
        <f t="shared" si="15"/>
        <v>625</v>
      </c>
      <c r="N36" s="94">
        <f t="shared" si="3"/>
        <v>0.1358072710126442</v>
      </c>
      <c r="O36" s="506">
        <v>185</v>
      </c>
      <c r="P36" s="506">
        <v>95</v>
      </c>
      <c r="Q36" s="506">
        <v>252</v>
      </c>
      <c r="R36" s="506">
        <v>227</v>
      </c>
      <c r="S36" s="506">
        <v>93</v>
      </c>
      <c r="T36" s="507">
        <f t="shared" si="18"/>
        <v>852</v>
      </c>
      <c r="U36" s="94">
        <f t="shared" si="0"/>
        <v>0.18513247184443657</v>
      </c>
      <c r="V36" s="506">
        <v>205</v>
      </c>
      <c r="W36" s="506">
        <v>51</v>
      </c>
      <c r="X36" s="506">
        <v>129</v>
      </c>
      <c r="Y36" s="506">
        <v>87</v>
      </c>
      <c r="Z36" s="506">
        <v>37</v>
      </c>
      <c r="AA36" s="507">
        <f t="shared" si="16"/>
        <v>509</v>
      </c>
      <c r="AB36" s="106">
        <f t="shared" si="1"/>
        <v>0.11060144151269743</v>
      </c>
      <c r="AC36" s="508">
        <f>54+31+25+30+24</f>
        <v>164</v>
      </c>
      <c r="AD36" s="508">
        <f>7+3+10+22+25</f>
        <v>67</v>
      </c>
      <c r="AE36" s="507">
        <f>455+336+969+798+132</f>
        <v>2690</v>
      </c>
    </row>
    <row r="37" spans="1:32" ht="15.75" thickBot="1" x14ac:dyDescent="0.3">
      <c r="A37" s="520" t="s">
        <v>21</v>
      </c>
      <c r="B37" s="521">
        <f t="shared" ref="B37:M37" si="19">SUM(B28:B36)</f>
        <v>117784</v>
      </c>
      <c r="C37" s="521">
        <f t="shared" si="19"/>
        <v>76434</v>
      </c>
      <c r="D37" s="521">
        <f t="shared" si="19"/>
        <v>164938</v>
      </c>
      <c r="E37" s="521">
        <f>SUM(E28:E36)</f>
        <v>149451</v>
      </c>
      <c r="F37" s="521">
        <f t="shared" si="19"/>
        <v>91854</v>
      </c>
      <c r="G37" s="514">
        <f t="shared" si="19"/>
        <v>600461</v>
      </c>
      <c r="H37" s="522">
        <f t="shared" si="19"/>
        <v>184</v>
      </c>
      <c r="I37" s="522">
        <f t="shared" si="19"/>
        <v>93</v>
      </c>
      <c r="J37" s="522">
        <f t="shared" si="19"/>
        <v>299</v>
      </c>
      <c r="K37" s="522">
        <f>SUM(K28:K36)</f>
        <v>221</v>
      </c>
      <c r="L37" s="522">
        <f t="shared" si="19"/>
        <v>80</v>
      </c>
      <c r="M37" s="326">
        <f t="shared" si="19"/>
        <v>877</v>
      </c>
      <c r="N37" s="515">
        <f t="shared" si="3"/>
        <v>0.14605444816565938</v>
      </c>
      <c r="O37" s="523">
        <f t="shared" ref="O37:T37" si="20">SUM(O28:O36)</f>
        <v>231</v>
      </c>
      <c r="P37" s="523">
        <f t="shared" si="20"/>
        <v>132</v>
      </c>
      <c r="Q37" s="523">
        <f t="shared" si="20"/>
        <v>334</v>
      </c>
      <c r="R37" s="523">
        <f>SUM(R28:R36)</f>
        <v>311</v>
      </c>
      <c r="S37" s="523">
        <f t="shared" si="20"/>
        <v>123</v>
      </c>
      <c r="T37" s="326">
        <f t="shared" si="20"/>
        <v>1131</v>
      </c>
      <c r="U37" s="94">
        <f t="shared" si="0"/>
        <v>0.18835528035959037</v>
      </c>
      <c r="V37" s="523">
        <f>SUM(V28:V36)</f>
        <v>249</v>
      </c>
      <c r="W37" s="523">
        <f t="shared" ref="W37:AA37" si="21">SUM(W28:W36)</f>
        <v>79</v>
      </c>
      <c r="X37" s="523">
        <f t="shared" si="21"/>
        <v>169</v>
      </c>
      <c r="Y37" s="523">
        <f>SUM(Y28:Y36)</f>
        <v>101</v>
      </c>
      <c r="Z37" s="523">
        <f t="shared" si="21"/>
        <v>47</v>
      </c>
      <c r="AA37" s="326">
        <f t="shared" si="21"/>
        <v>645</v>
      </c>
      <c r="AB37" s="106">
        <f t="shared" si="1"/>
        <v>0.10741746757907675</v>
      </c>
      <c r="AC37" s="132">
        <f>SUM(AC28:AC36)</f>
        <v>243</v>
      </c>
      <c r="AD37" s="115">
        <f>SUM(AD28:AD36)</f>
        <v>89</v>
      </c>
      <c r="AE37" s="117">
        <f>SUM(AE28:AE36)</f>
        <v>3329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</row>
    <row r="39" spans="1:32" ht="15.75" thickBot="1" x14ac:dyDescent="0.3">
      <c r="A39" s="6" t="s">
        <v>28</v>
      </c>
      <c r="B39" s="32"/>
      <c r="C39" s="32"/>
      <c r="D39" s="32"/>
      <c r="E39" s="32"/>
      <c r="F39" s="32"/>
      <c r="G39" s="123"/>
      <c r="H39" s="74"/>
      <c r="I39" s="74"/>
      <c r="J39" s="74"/>
      <c r="K39" s="74"/>
      <c r="L39" s="53"/>
      <c r="M39" s="98"/>
      <c r="N39" s="525"/>
      <c r="O39" s="74"/>
      <c r="P39" s="74"/>
      <c r="Q39" s="74"/>
      <c r="R39" s="74"/>
      <c r="S39" s="74"/>
      <c r="T39" s="88"/>
      <c r="U39" s="151"/>
      <c r="AA39" s="99"/>
      <c r="AC39" s="99"/>
      <c r="AD39" s="99"/>
      <c r="AE39" s="99"/>
    </row>
    <row r="40" spans="1:32" ht="15.75" thickBot="1" x14ac:dyDescent="0.3">
      <c r="A40" s="503" t="s">
        <v>41</v>
      </c>
      <c r="B40" s="504">
        <v>287</v>
      </c>
      <c r="C40" s="504">
        <v>1356</v>
      </c>
      <c r="D40" s="504">
        <v>337</v>
      </c>
      <c r="E40" s="504">
        <v>239</v>
      </c>
      <c r="F40" s="504">
        <v>157</v>
      </c>
      <c r="G40" s="505">
        <f>SUM(B40:F40)</f>
        <v>2376</v>
      </c>
      <c r="H40" s="506">
        <v>0</v>
      </c>
      <c r="I40" s="506">
        <v>0</v>
      </c>
      <c r="J40" s="506">
        <v>0</v>
      </c>
      <c r="K40" s="506">
        <v>0</v>
      </c>
      <c r="L40" s="526">
        <v>0</v>
      </c>
      <c r="M40" s="507">
        <f>SUM(H40:L40)</f>
        <v>0</v>
      </c>
      <c r="N40" s="515">
        <f t="shared" si="3"/>
        <v>0</v>
      </c>
      <c r="O40" s="506">
        <v>1</v>
      </c>
      <c r="P40" s="506">
        <v>0</v>
      </c>
      <c r="Q40" s="506">
        <v>2</v>
      </c>
      <c r="R40" s="506">
        <v>0</v>
      </c>
      <c r="S40" s="506">
        <v>1</v>
      </c>
      <c r="T40" s="507">
        <f>SUM(O40:S40)</f>
        <v>4</v>
      </c>
      <c r="U40" s="94">
        <f t="shared" si="0"/>
        <v>0.16835016835016836</v>
      </c>
      <c r="V40" s="527">
        <v>0</v>
      </c>
      <c r="W40" s="527">
        <v>0</v>
      </c>
      <c r="X40" s="527">
        <v>0</v>
      </c>
      <c r="Y40" s="527">
        <v>0</v>
      </c>
      <c r="Z40" s="527">
        <v>1</v>
      </c>
      <c r="AA40" s="508">
        <f>SUM(V40:Z40)</f>
        <v>1</v>
      </c>
      <c r="AB40" s="106">
        <f t="shared" si="1"/>
        <v>4.208754208754209E-2</v>
      </c>
      <c r="AC40" s="508">
        <f>0+0+0+0+1</f>
        <v>1</v>
      </c>
      <c r="AD40" s="508">
        <f>0+1+0+0+0</f>
        <v>1</v>
      </c>
      <c r="AE40" s="508">
        <f>0+6+1+0+0</f>
        <v>7</v>
      </c>
    </row>
    <row r="41" spans="1:32" ht="15.75" thickBot="1" x14ac:dyDescent="0.3">
      <c r="A41" s="503" t="s">
        <v>27</v>
      </c>
      <c r="B41" s="504">
        <v>111773</v>
      </c>
      <c r="C41" s="504">
        <v>51521</v>
      </c>
      <c r="D41" s="528">
        <v>80875</v>
      </c>
      <c r="E41" s="504">
        <v>78900</v>
      </c>
      <c r="F41" s="504">
        <v>76656</v>
      </c>
      <c r="G41" s="505">
        <f>SUM(B41:F41)</f>
        <v>399725</v>
      </c>
      <c r="H41" s="506">
        <v>39</v>
      </c>
      <c r="I41" s="506">
        <v>20</v>
      </c>
      <c r="J41" s="506">
        <v>73</v>
      </c>
      <c r="K41" s="506">
        <v>27</v>
      </c>
      <c r="L41" s="507">
        <v>17</v>
      </c>
      <c r="M41" s="507">
        <f>SUM(H41:L41)</f>
        <v>176</v>
      </c>
      <c r="N41" s="515">
        <f t="shared" si="3"/>
        <v>4.4030270811182687E-2</v>
      </c>
      <c r="O41" s="506">
        <v>15</v>
      </c>
      <c r="P41" s="506">
        <v>20</v>
      </c>
      <c r="Q41" s="506">
        <v>53</v>
      </c>
      <c r="R41" s="506">
        <v>20</v>
      </c>
      <c r="S41" s="506">
        <v>9</v>
      </c>
      <c r="T41" s="507">
        <f>SUM(O41:S41)</f>
        <v>117</v>
      </c>
      <c r="U41" s="94">
        <f t="shared" si="0"/>
        <v>2.9270123209706674E-2</v>
      </c>
      <c r="V41" s="529">
        <v>19</v>
      </c>
      <c r="W41" s="529">
        <v>13</v>
      </c>
      <c r="X41" s="527">
        <v>54</v>
      </c>
      <c r="Y41" s="527">
        <v>14</v>
      </c>
      <c r="Z41" s="527">
        <v>8</v>
      </c>
      <c r="AA41" s="507">
        <f>SUM(V41:Z41)</f>
        <v>108</v>
      </c>
      <c r="AB41" s="106">
        <f t="shared" si="1"/>
        <v>2.7018575270498467E-2</v>
      </c>
      <c r="AC41" s="508">
        <f>2+1+2+6+4</f>
        <v>15</v>
      </c>
      <c r="AD41" s="508">
        <f>2+1+1+2+2</f>
        <v>8</v>
      </c>
      <c r="AE41" s="538">
        <f>38+33+207+47+34</f>
        <v>359</v>
      </c>
    </row>
    <row r="42" spans="1:32" ht="15.75" thickBot="1" x14ac:dyDescent="0.3">
      <c r="A42" s="520" t="s">
        <v>21</v>
      </c>
      <c r="B42" s="530">
        <f>SUM(B40:B41)</f>
        <v>112060</v>
      </c>
      <c r="C42" s="530">
        <f>SUM(C40:C41)</f>
        <v>52877</v>
      </c>
      <c r="D42" s="530">
        <f>SUM(D40:D41)</f>
        <v>81212</v>
      </c>
      <c r="E42" s="530">
        <f>SUM(E40:E41)</f>
        <v>79139</v>
      </c>
      <c r="F42" s="530">
        <f>SUM(F40:F41)</f>
        <v>76813</v>
      </c>
      <c r="G42" s="514">
        <f t="shared" ref="G42:M42" si="22">SUM(G40:G41)</f>
        <v>402101</v>
      </c>
      <c r="H42" s="338">
        <f>SUM(H40:H41)</f>
        <v>39</v>
      </c>
      <c r="I42" s="338">
        <f>SUM(I40:I41)</f>
        <v>20</v>
      </c>
      <c r="J42" s="338">
        <f>SUM(J40:J41)</f>
        <v>73</v>
      </c>
      <c r="K42" s="338">
        <f>SUM(K40:K41)</f>
        <v>27</v>
      </c>
      <c r="L42" s="338">
        <f>SUM(L40:L41)</f>
        <v>17</v>
      </c>
      <c r="M42" s="326">
        <f t="shared" si="22"/>
        <v>176</v>
      </c>
      <c r="N42" s="515">
        <f t="shared" si="3"/>
        <v>4.3770097562552693E-2</v>
      </c>
      <c r="O42" s="522">
        <f t="shared" ref="O42:T42" si="23">SUM(O40:O41)</f>
        <v>16</v>
      </c>
      <c r="P42" s="522">
        <f t="shared" si="23"/>
        <v>20</v>
      </c>
      <c r="Q42" s="522">
        <f t="shared" si="23"/>
        <v>55</v>
      </c>
      <c r="R42" s="522">
        <f t="shared" si="23"/>
        <v>20</v>
      </c>
      <c r="S42" s="522">
        <f t="shared" si="23"/>
        <v>10</v>
      </c>
      <c r="T42" s="329">
        <f t="shared" si="23"/>
        <v>121</v>
      </c>
      <c r="U42" s="94">
        <f t="shared" si="0"/>
        <v>3.0091942074254977E-2</v>
      </c>
      <c r="V42" s="101">
        <f>SUM(V40:V41)</f>
        <v>19</v>
      </c>
      <c r="W42" s="101">
        <f t="shared" ref="W42:Z42" si="24">SUM(W40:W41)</f>
        <v>13</v>
      </c>
      <c r="X42" s="101">
        <f t="shared" si="24"/>
        <v>54</v>
      </c>
      <c r="Y42" s="101">
        <f>SUM(Y40:Y41)</f>
        <v>14</v>
      </c>
      <c r="Z42" s="101">
        <f t="shared" si="24"/>
        <v>9</v>
      </c>
      <c r="AA42" s="327">
        <f>SUM(AA40:AA41)</f>
        <v>109</v>
      </c>
      <c r="AB42" s="106">
        <f t="shared" si="1"/>
        <v>2.7107617240444564E-2</v>
      </c>
      <c r="AC42" s="115">
        <f>SUM(AC40:AC41)</f>
        <v>16</v>
      </c>
      <c r="AD42" s="132">
        <f>SUM(AD40:AD41)</f>
        <v>9</v>
      </c>
      <c r="AE42" s="132">
        <f>SUM(AE40:AE41)</f>
        <v>366</v>
      </c>
    </row>
    <row r="43" spans="1:32" ht="15.75" thickBot="1" x14ac:dyDescent="0.3">
      <c r="A43" s="531" t="s">
        <v>49</v>
      </c>
      <c r="B43" s="532">
        <f>B11+B25+B37+B42</f>
        <v>232997</v>
      </c>
      <c r="C43" s="533">
        <f>C11+C25+C37+C42</f>
        <v>130631</v>
      </c>
      <c r="D43" s="534">
        <f>D11+D25+D37+D42</f>
        <v>250965</v>
      </c>
      <c r="E43" s="535">
        <f>SUM(B43:D43)</f>
        <v>614593</v>
      </c>
      <c r="F43" s="535">
        <f t="shared" ref="F43:M43" si="25">F11+F25+F37+F42</f>
        <v>170361</v>
      </c>
      <c r="G43" s="139">
        <f t="shared" si="25"/>
        <v>1018149</v>
      </c>
      <c r="H43" s="140">
        <f t="shared" si="25"/>
        <v>237</v>
      </c>
      <c r="I43" s="140">
        <f t="shared" si="25"/>
        <v>117</v>
      </c>
      <c r="J43" s="140">
        <f t="shared" si="25"/>
        <v>392</v>
      </c>
      <c r="K43" s="140">
        <f>K11+K25+K37+K42</f>
        <v>274</v>
      </c>
      <c r="L43" s="140">
        <f t="shared" si="25"/>
        <v>105</v>
      </c>
      <c r="M43" s="140">
        <f t="shared" si="25"/>
        <v>1125</v>
      </c>
      <c r="N43" s="515">
        <f t="shared" si="3"/>
        <v>0.11049463290736425</v>
      </c>
      <c r="O43" s="140">
        <f t="shared" ref="O43:T43" si="26">O11+O25+O37+O42</f>
        <v>268</v>
      </c>
      <c r="P43" s="140">
        <f t="shared" si="26"/>
        <v>164</v>
      </c>
      <c r="Q43" s="140">
        <f t="shared" si="26"/>
        <v>421</v>
      </c>
      <c r="R43" s="140">
        <f>R11+R25+R37+R42</f>
        <v>381</v>
      </c>
      <c r="S43" s="140">
        <f t="shared" si="26"/>
        <v>141</v>
      </c>
      <c r="T43" s="140">
        <f t="shared" si="26"/>
        <v>1375</v>
      </c>
      <c r="U43" s="94">
        <f t="shared" si="0"/>
        <v>0.13504899577566742</v>
      </c>
      <c r="V43" s="140">
        <f>V11+V25+V37+V42</f>
        <v>277</v>
      </c>
      <c r="W43" s="140">
        <f t="shared" ref="W43:AA43" si="27">W11+W25+W37+W42</f>
        <v>98</v>
      </c>
      <c r="X43" s="140">
        <f t="shared" si="27"/>
        <v>242</v>
      </c>
      <c r="Y43" s="140">
        <f t="shared" si="27"/>
        <v>123</v>
      </c>
      <c r="Z43" s="140">
        <f t="shared" si="27"/>
        <v>66</v>
      </c>
      <c r="AA43" s="140">
        <f t="shared" si="27"/>
        <v>806</v>
      </c>
      <c r="AB43" s="106">
        <f t="shared" si="1"/>
        <v>7.9163265887409406E-2</v>
      </c>
      <c r="AC43" s="140">
        <f>AC11+AC25+AC37+AC42</f>
        <v>279</v>
      </c>
      <c r="AD43" s="324">
        <f>AD11+AD25+AD37+AD42</f>
        <v>105</v>
      </c>
      <c r="AE43" s="140">
        <f>AE11+AE25+AE37+AE42</f>
        <v>3985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8">
    <mergeCell ref="A1:AE1"/>
    <mergeCell ref="A3:A4"/>
    <mergeCell ref="B3:G3"/>
    <mergeCell ref="H3:M3"/>
    <mergeCell ref="O3:T3"/>
    <mergeCell ref="U3:U4"/>
    <mergeCell ref="V3:Z3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87BF-C825-43A0-AF3C-7B68156B265C}">
  <dimension ref="A1:AG43"/>
  <sheetViews>
    <sheetView tabSelected="1" zoomScale="80" zoomScaleNormal="80" zoomScaleSheetLayoutView="80" workbookViewId="0">
      <selection activeCell="AB43" sqref="AB43"/>
    </sheetView>
  </sheetViews>
  <sheetFormatPr baseColWidth="10" defaultRowHeight="12.75" outlineLevelCol="1" x14ac:dyDescent="0.2"/>
  <cols>
    <col min="1" max="1" width="28.28515625" customWidth="1"/>
    <col min="2" max="6" width="10.85546875" customWidth="1" outlineLevel="1"/>
    <col min="7" max="7" width="14.140625" customWidth="1"/>
    <col min="8" max="12" width="10.85546875" hidden="1" customWidth="1" outlineLevel="1"/>
    <col min="13" max="13" width="16.42578125" customWidth="1" collapsed="1"/>
    <col min="15" max="19" width="10.85546875" hidden="1" customWidth="1" outlineLevel="1"/>
    <col min="20" max="20" width="16.42578125" customWidth="1" collapsed="1"/>
    <col min="22" max="26" width="10.85546875" hidden="1" customWidth="1" outlineLevel="1"/>
    <col min="27" max="27" width="15" customWidth="1" collapsed="1"/>
    <col min="29" max="29" width="16.42578125" customWidth="1"/>
    <col min="30" max="30" width="16.85546875" customWidth="1"/>
    <col min="31" max="31" width="17.5703125" customWidth="1"/>
  </cols>
  <sheetData>
    <row r="1" spans="1:32" ht="18" x14ac:dyDescent="0.25">
      <c r="A1" s="730" t="s">
        <v>127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  <c r="AF1" s="600"/>
    </row>
    <row r="2" spans="1:32" ht="18.75" thickBot="1" x14ac:dyDescent="0.3">
      <c r="A2" s="600"/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</row>
    <row r="3" spans="1:32" ht="52.5" thickTop="1" thickBot="1" x14ac:dyDescent="0.25">
      <c r="A3" s="756" t="s">
        <v>24</v>
      </c>
      <c r="B3" s="758" t="s">
        <v>0</v>
      </c>
      <c r="C3" s="759"/>
      <c r="D3" s="759"/>
      <c r="E3" s="759"/>
      <c r="F3" s="759"/>
      <c r="G3" s="760"/>
      <c r="H3" s="761" t="s">
        <v>33</v>
      </c>
      <c r="I3" s="762"/>
      <c r="J3" s="762"/>
      <c r="K3" s="762"/>
      <c r="L3" s="762"/>
      <c r="M3" s="763"/>
      <c r="N3" s="601" t="s">
        <v>40</v>
      </c>
      <c r="O3" s="764" t="s">
        <v>42</v>
      </c>
      <c r="P3" s="765"/>
      <c r="Q3" s="765"/>
      <c r="R3" s="765"/>
      <c r="S3" s="765"/>
      <c r="T3" s="763"/>
      <c r="U3" s="766" t="s">
        <v>43</v>
      </c>
      <c r="V3" s="770" t="s">
        <v>123</v>
      </c>
      <c r="W3" s="771"/>
      <c r="X3" s="771"/>
      <c r="Y3" s="771"/>
      <c r="Z3" s="772"/>
      <c r="AA3" s="493" t="s">
        <v>45</v>
      </c>
      <c r="AB3" s="768" t="s">
        <v>43</v>
      </c>
      <c r="AC3" s="493" t="s">
        <v>46</v>
      </c>
      <c r="AD3" s="536" t="s">
        <v>47</v>
      </c>
      <c r="AE3" s="537" t="s">
        <v>48</v>
      </c>
      <c r="AF3" s="112"/>
    </row>
    <row r="4" spans="1:32" ht="14.25" thickTop="1" thickBot="1" x14ac:dyDescent="0.25">
      <c r="A4" s="757"/>
      <c r="B4" s="494" t="s">
        <v>29</v>
      </c>
      <c r="C4" s="495" t="s">
        <v>30</v>
      </c>
      <c r="D4" s="495" t="s">
        <v>36</v>
      </c>
      <c r="E4" s="495" t="s">
        <v>31</v>
      </c>
      <c r="F4" s="495" t="s">
        <v>32</v>
      </c>
      <c r="G4" s="498" t="s">
        <v>21</v>
      </c>
      <c r="H4" s="496" t="s">
        <v>29</v>
      </c>
      <c r="I4" s="497" t="s">
        <v>30</v>
      </c>
      <c r="J4" s="497" t="s">
        <v>37</v>
      </c>
      <c r="K4" s="497" t="s">
        <v>34</v>
      </c>
      <c r="L4" s="497" t="s">
        <v>32</v>
      </c>
      <c r="M4" s="499" t="s">
        <v>21</v>
      </c>
      <c r="N4" s="602"/>
      <c r="O4" s="497" t="s">
        <v>29</v>
      </c>
      <c r="P4" s="497" t="s">
        <v>30</v>
      </c>
      <c r="Q4" s="497" t="s">
        <v>36</v>
      </c>
      <c r="R4" s="497" t="s">
        <v>31</v>
      </c>
      <c r="S4" s="497" t="s">
        <v>32</v>
      </c>
      <c r="T4" s="499" t="s">
        <v>21</v>
      </c>
      <c r="U4" s="767"/>
      <c r="V4" s="490" t="s">
        <v>29</v>
      </c>
      <c r="W4" s="491" t="s">
        <v>30</v>
      </c>
      <c r="X4" s="489" t="s">
        <v>37</v>
      </c>
      <c r="Y4" s="491" t="s">
        <v>34</v>
      </c>
      <c r="Z4" s="489" t="s">
        <v>32</v>
      </c>
      <c r="AA4" s="492" t="s">
        <v>21</v>
      </c>
      <c r="AB4" s="769"/>
      <c r="AC4" s="500" t="s">
        <v>21</v>
      </c>
      <c r="AD4" s="502" t="s">
        <v>21</v>
      </c>
      <c r="AE4" s="501" t="s">
        <v>21</v>
      </c>
    </row>
    <row r="5" spans="1:32" ht="16.5" thickTop="1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2" ht="15" thickBot="1" x14ac:dyDescent="0.25">
      <c r="A6" s="503" t="s">
        <v>1</v>
      </c>
      <c r="B6" s="504">
        <v>84</v>
      </c>
      <c r="C6" s="504">
        <v>49</v>
      </c>
      <c r="D6" s="504">
        <v>81</v>
      </c>
      <c r="E6" s="189">
        <v>93</v>
      </c>
      <c r="F6" s="504">
        <v>42</v>
      </c>
      <c r="G6" s="505">
        <f>SUM(B6:F6)</f>
        <v>349</v>
      </c>
      <c r="H6" s="506">
        <v>0</v>
      </c>
      <c r="I6" s="506">
        <v>1</v>
      </c>
      <c r="J6" s="506">
        <v>1</v>
      </c>
      <c r="K6" s="506">
        <v>0</v>
      </c>
      <c r="L6" s="507">
        <v>0</v>
      </c>
      <c r="M6" s="508">
        <f>SUM(H6:L6)</f>
        <v>2</v>
      </c>
      <c r="N6" s="106">
        <f>M6*100/G6</f>
        <v>0.57306590257879653</v>
      </c>
      <c r="O6" s="506">
        <v>0</v>
      </c>
      <c r="P6" s="506">
        <v>1</v>
      </c>
      <c r="Q6" s="506">
        <v>1</v>
      </c>
      <c r="R6" s="506">
        <v>0</v>
      </c>
      <c r="S6" s="506">
        <v>0</v>
      </c>
      <c r="T6" s="508">
        <f>SUM(O6:S6)</f>
        <v>2</v>
      </c>
      <c r="U6" s="94">
        <f>T6*100/G6</f>
        <v>0.57306590257879653</v>
      </c>
      <c r="V6" s="506">
        <v>1</v>
      </c>
      <c r="W6" s="506">
        <v>0</v>
      </c>
      <c r="X6" s="506">
        <v>0</v>
      </c>
      <c r="Y6" s="506">
        <v>0</v>
      </c>
      <c r="Z6" s="506">
        <v>0</v>
      </c>
      <c r="AA6" s="507">
        <f>SUM(V6:Z6)</f>
        <v>1</v>
      </c>
      <c r="AB6" s="106">
        <f>AA6*100/G6</f>
        <v>0.28653295128939826</v>
      </c>
      <c r="AC6" s="508">
        <v>0</v>
      </c>
      <c r="AD6" s="508">
        <v>1</v>
      </c>
      <c r="AE6" s="508">
        <v>17</v>
      </c>
    </row>
    <row r="7" spans="1:32" ht="15" thickBot="1" x14ac:dyDescent="0.25">
      <c r="A7" s="509" t="s">
        <v>2</v>
      </c>
      <c r="B7" s="504">
        <v>496</v>
      </c>
      <c r="C7" s="504">
        <v>220</v>
      </c>
      <c r="D7" s="504">
        <v>703</v>
      </c>
      <c r="E7" s="189">
        <v>716</v>
      </c>
      <c r="F7" s="504">
        <v>300</v>
      </c>
      <c r="G7" s="505">
        <f>SUM(B7:F7)</f>
        <v>2435</v>
      </c>
      <c r="H7" s="506">
        <v>2</v>
      </c>
      <c r="I7" s="506">
        <v>2</v>
      </c>
      <c r="J7" s="506">
        <v>0</v>
      </c>
      <c r="K7" s="506">
        <v>1</v>
      </c>
      <c r="L7" s="507">
        <v>0</v>
      </c>
      <c r="M7" s="507">
        <f>SUM(H7:L7)</f>
        <v>5</v>
      </c>
      <c r="N7" s="106">
        <f>M7*100/G7</f>
        <v>0.20533880903490759</v>
      </c>
      <c r="O7" s="506">
        <v>2</v>
      </c>
      <c r="P7" s="506">
        <v>3</v>
      </c>
      <c r="Q7" s="506">
        <v>6</v>
      </c>
      <c r="R7" s="506">
        <v>4</v>
      </c>
      <c r="S7" s="506">
        <v>0</v>
      </c>
      <c r="T7" s="507">
        <f>SUM(O7:S7)</f>
        <v>15</v>
      </c>
      <c r="U7" s="94">
        <f>T7*100/G7</f>
        <v>0.61601642710472282</v>
      </c>
      <c r="V7" s="506">
        <v>4</v>
      </c>
      <c r="W7" s="506">
        <v>0</v>
      </c>
      <c r="X7" s="506">
        <v>3</v>
      </c>
      <c r="Y7" s="506">
        <v>2</v>
      </c>
      <c r="Z7" s="506">
        <v>0</v>
      </c>
      <c r="AA7" s="507">
        <f>SUM(V7:Z7)</f>
        <v>9</v>
      </c>
      <c r="AB7" s="106">
        <f>AA7*100/G7</f>
        <v>0.36960985626283366</v>
      </c>
      <c r="AC7" s="508">
        <v>2</v>
      </c>
      <c r="AD7" s="508">
        <v>3</v>
      </c>
      <c r="AE7" s="508">
        <v>67</v>
      </c>
    </row>
    <row r="8" spans="1:32" ht="15" thickBot="1" x14ac:dyDescent="0.25">
      <c r="A8" s="509" t="s">
        <v>14</v>
      </c>
      <c r="B8" s="504">
        <v>49</v>
      </c>
      <c r="C8" s="504">
        <v>39</v>
      </c>
      <c r="D8" s="504">
        <v>71</v>
      </c>
      <c r="E8" s="189">
        <v>97</v>
      </c>
      <c r="F8" s="504">
        <v>34</v>
      </c>
      <c r="G8" s="505">
        <f>SUM(B8:F8)</f>
        <v>290</v>
      </c>
      <c r="H8" s="506">
        <v>0</v>
      </c>
      <c r="I8" s="506">
        <v>0</v>
      </c>
      <c r="J8" s="506">
        <v>1</v>
      </c>
      <c r="K8" s="506">
        <v>2</v>
      </c>
      <c r="L8" s="507">
        <v>0</v>
      </c>
      <c r="M8" s="508">
        <f>SUM(H8:L8)</f>
        <v>3</v>
      </c>
      <c r="N8" s="106">
        <f>M8*100/G8</f>
        <v>1.0344827586206897</v>
      </c>
      <c r="O8" s="506">
        <v>0</v>
      </c>
      <c r="P8" s="506">
        <v>0</v>
      </c>
      <c r="Q8" s="506">
        <v>0</v>
      </c>
      <c r="R8" s="506">
        <v>0</v>
      </c>
      <c r="S8" s="506">
        <v>0</v>
      </c>
      <c r="T8" s="508">
        <f>SUM(O8:S8)</f>
        <v>0</v>
      </c>
      <c r="U8" s="94">
        <f t="shared" ref="U8:U43" si="0">T8*100/G8</f>
        <v>0</v>
      </c>
      <c r="V8" s="506">
        <v>0</v>
      </c>
      <c r="W8" s="506">
        <v>0</v>
      </c>
      <c r="X8" s="506">
        <v>0</v>
      </c>
      <c r="Y8" s="506">
        <v>0</v>
      </c>
      <c r="Z8" s="506">
        <v>0</v>
      </c>
      <c r="AA8" s="507">
        <f>SUM(V8:Z8)</f>
        <v>0</v>
      </c>
      <c r="AB8" s="106">
        <f t="shared" ref="AB8:AB43" si="1">AA8*100/G8</f>
        <v>0</v>
      </c>
      <c r="AC8" s="508">
        <f>0+0+0+0+0</f>
        <v>0</v>
      </c>
      <c r="AD8" s="508">
        <v>0</v>
      </c>
      <c r="AE8" s="508">
        <v>7</v>
      </c>
    </row>
    <row r="9" spans="1:32" ht="15" thickBot="1" x14ac:dyDescent="0.25">
      <c r="A9" s="509" t="s">
        <v>3</v>
      </c>
      <c r="B9" s="504">
        <v>77</v>
      </c>
      <c r="C9" s="504">
        <v>75</v>
      </c>
      <c r="D9" s="504">
        <v>130</v>
      </c>
      <c r="E9" s="189">
        <v>113</v>
      </c>
      <c r="F9" s="504">
        <v>34</v>
      </c>
      <c r="G9" s="505">
        <f>SUM(B9:F9)</f>
        <v>429</v>
      </c>
      <c r="H9" s="506">
        <v>0</v>
      </c>
      <c r="I9" s="506">
        <v>0</v>
      </c>
      <c r="J9" s="506">
        <v>0</v>
      </c>
      <c r="K9" s="506">
        <v>0</v>
      </c>
      <c r="L9" s="507">
        <v>0</v>
      </c>
      <c r="M9" s="507">
        <f>SUM(H9:L9)</f>
        <v>0</v>
      </c>
      <c r="N9" s="106">
        <f>M9*100/G9</f>
        <v>0</v>
      </c>
      <c r="O9" s="506">
        <v>0</v>
      </c>
      <c r="P9" s="506">
        <v>0</v>
      </c>
      <c r="Q9" s="506">
        <v>1</v>
      </c>
      <c r="R9" s="506">
        <v>1</v>
      </c>
      <c r="S9" s="506">
        <v>1</v>
      </c>
      <c r="T9" s="507">
        <f>SUM(O9:S9)</f>
        <v>3</v>
      </c>
      <c r="U9" s="94">
        <f t="shared" si="0"/>
        <v>0.69930069930069927</v>
      </c>
      <c r="V9" s="506">
        <v>0</v>
      </c>
      <c r="W9" s="506">
        <v>0</v>
      </c>
      <c r="X9" s="506">
        <v>0</v>
      </c>
      <c r="Y9" s="506">
        <v>0</v>
      </c>
      <c r="Z9" s="506">
        <v>0</v>
      </c>
      <c r="AA9" s="507">
        <f>SUM(V9:Z9)</f>
        <v>0</v>
      </c>
      <c r="AB9" s="106">
        <f t="shared" si="1"/>
        <v>0</v>
      </c>
      <c r="AC9" s="508">
        <f>1+0+0+0+0</f>
        <v>1</v>
      </c>
      <c r="AD9" s="508">
        <v>0</v>
      </c>
      <c r="AE9" s="508">
        <v>12</v>
      </c>
    </row>
    <row r="10" spans="1:32" ht="48.75" customHeight="1" thickBot="1" x14ac:dyDescent="0.25">
      <c r="A10" s="510" t="s">
        <v>23</v>
      </c>
      <c r="B10" s="504">
        <v>621</v>
      </c>
      <c r="C10" s="504">
        <v>223</v>
      </c>
      <c r="D10" s="504">
        <v>828</v>
      </c>
      <c r="E10" s="189">
        <v>807</v>
      </c>
      <c r="F10" s="504">
        <v>193</v>
      </c>
      <c r="G10" s="505">
        <f>SUM(B10:F10)</f>
        <v>2672</v>
      </c>
      <c r="H10" s="506">
        <v>2</v>
      </c>
      <c r="I10" s="506">
        <v>0</v>
      </c>
      <c r="J10" s="506">
        <v>1</v>
      </c>
      <c r="K10" s="506">
        <v>2</v>
      </c>
      <c r="L10" s="507">
        <v>0</v>
      </c>
      <c r="M10" s="507">
        <f>SUM(H10:L10)</f>
        <v>5</v>
      </c>
      <c r="N10" s="106">
        <f>M10*100/G10</f>
        <v>0.18712574850299402</v>
      </c>
      <c r="O10" s="506">
        <v>3</v>
      </c>
      <c r="P10" s="506">
        <v>2</v>
      </c>
      <c r="Q10" s="506">
        <v>3</v>
      </c>
      <c r="R10" s="506">
        <v>3</v>
      </c>
      <c r="S10" s="506">
        <v>0</v>
      </c>
      <c r="T10" s="511">
        <f>SUM(O10:S10)</f>
        <v>11</v>
      </c>
      <c r="U10" s="94">
        <f t="shared" si="0"/>
        <v>0.41167664670658682</v>
      </c>
      <c r="V10" s="506">
        <v>0</v>
      </c>
      <c r="W10" s="506">
        <v>0</v>
      </c>
      <c r="X10" s="506">
        <v>1</v>
      </c>
      <c r="Y10" s="506">
        <v>0</v>
      </c>
      <c r="Z10" s="506">
        <v>0</v>
      </c>
      <c r="AA10" s="507">
        <f>SUM(V10:Z10)</f>
        <v>1</v>
      </c>
      <c r="AB10" s="106">
        <f t="shared" si="1"/>
        <v>3.7425149700598799E-2</v>
      </c>
      <c r="AC10" s="538">
        <v>9</v>
      </c>
      <c r="AD10" s="508">
        <v>0</v>
      </c>
      <c r="AE10" s="508">
        <v>29</v>
      </c>
    </row>
    <row r="11" spans="1:32" ht="15.75" thickBot="1" x14ac:dyDescent="0.3">
      <c r="A11" s="512" t="s">
        <v>21</v>
      </c>
      <c r="B11" s="513">
        <f>SUM(B6:B10)</f>
        <v>1327</v>
      </c>
      <c r="C11" s="513">
        <f>SUM(C6:C10)</f>
        <v>606</v>
      </c>
      <c r="D11" s="513">
        <f>SUM(D6:D10)</f>
        <v>1813</v>
      </c>
      <c r="E11" s="513">
        <f>SUM(E6:E10)</f>
        <v>1826</v>
      </c>
      <c r="F11" s="513">
        <f>SUM(F6:F10)</f>
        <v>603</v>
      </c>
      <c r="G11" s="603">
        <f t="shared" ref="G11:M11" si="2">SUM(G6:G10)</f>
        <v>6175</v>
      </c>
      <c r="H11" s="608">
        <f>SUM(H6:H10)</f>
        <v>4</v>
      </c>
      <c r="I11" s="608">
        <f>SUM(I6:I10)</f>
        <v>3</v>
      </c>
      <c r="J11" s="608">
        <f t="shared" si="2"/>
        <v>3</v>
      </c>
      <c r="K11" s="608">
        <f t="shared" si="2"/>
        <v>5</v>
      </c>
      <c r="L11" s="608">
        <f t="shared" si="2"/>
        <v>0</v>
      </c>
      <c r="M11" s="329">
        <f t="shared" si="2"/>
        <v>15</v>
      </c>
      <c r="N11" s="604">
        <f t="shared" ref="N11:N43" si="3">M11*100/G11</f>
        <v>0.24291497975708501</v>
      </c>
      <c r="O11" s="605">
        <f>SUM(O6:O10)</f>
        <v>5</v>
      </c>
      <c r="P11" s="605">
        <f t="shared" ref="P11:T11" si="4">SUM(P6:P10)</f>
        <v>6</v>
      </c>
      <c r="Q11" s="605">
        <f t="shared" si="4"/>
        <v>11</v>
      </c>
      <c r="R11" s="605">
        <f>SUM(R6:R10)</f>
        <v>8</v>
      </c>
      <c r="S11" s="605">
        <f t="shared" si="4"/>
        <v>1</v>
      </c>
      <c r="T11" s="329">
        <f t="shared" si="4"/>
        <v>31</v>
      </c>
      <c r="U11" s="606">
        <f t="shared" si="0"/>
        <v>0.50202429149797567</v>
      </c>
      <c r="V11" s="605">
        <f t="shared" ref="V11:AA11" si="5">SUM(V6:V10)</f>
        <v>5</v>
      </c>
      <c r="W11" s="605">
        <f t="shared" si="5"/>
        <v>0</v>
      </c>
      <c r="X11" s="605">
        <f t="shared" si="5"/>
        <v>4</v>
      </c>
      <c r="Y11" s="605">
        <f>SUM(Y6:Y10)</f>
        <v>2</v>
      </c>
      <c r="Z11" s="605">
        <f t="shared" si="5"/>
        <v>0</v>
      </c>
      <c r="AA11" s="607">
        <f t="shared" si="5"/>
        <v>11</v>
      </c>
      <c r="AB11" s="606">
        <f t="shared" si="1"/>
        <v>0.17813765182186234</v>
      </c>
      <c r="AC11" s="132">
        <f>SUM(AC6:AC10)</f>
        <v>12</v>
      </c>
      <c r="AD11" s="115">
        <f>SUM(AD6:AD10)</f>
        <v>4</v>
      </c>
      <c r="AE11" s="115">
        <f>SUM(AE6:AE10)</f>
        <v>132</v>
      </c>
    </row>
    <row r="12" spans="1:32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2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90"/>
      <c r="O13" s="54"/>
      <c r="P13" s="54"/>
      <c r="Q13" s="54"/>
      <c r="R13" s="54"/>
      <c r="S13" s="54"/>
      <c r="T13" s="86"/>
      <c r="U13" s="151"/>
      <c r="AA13" s="99"/>
      <c r="AC13" s="99"/>
      <c r="AD13" s="99"/>
      <c r="AE13" s="99"/>
    </row>
    <row r="14" spans="1:32" ht="15" thickBot="1" x14ac:dyDescent="0.25">
      <c r="A14" s="503" t="s">
        <v>4</v>
      </c>
      <c r="B14" s="504">
        <v>15</v>
      </c>
      <c r="C14" s="504">
        <v>4</v>
      </c>
      <c r="D14" s="504">
        <v>23</v>
      </c>
      <c r="E14" s="504">
        <v>37</v>
      </c>
      <c r="F14" s="504">
        <v>3</v>
      </c>
      <c r="G14" s="505">
        <f>SUM(B14:F14)</f>
        <v>82</v>
      </c>
      <c r="H14" s="506">
        <v>0</v>
      </c>
      <c r="I14" s="506">
        <v>0</v>
      </c>
      <c r="J14" s="506">
        <v>0</v>
      </c>
      <c r="K14" s="506">
        <v>0</v>
      </c>
      <c r="L14" s="507">
        <v>0</v>
      </c>
      <c r="M14" s="508">
        <f>SUM(H14:L14)</f>
        <v>0</v>
      </c>
      <c r="N14" s="106">
        <f t="shared" si="3"/>
        <v>0</v>
      </c>
      <c r="O14" s="506">
        <v>0</v>
      </c>
      <c r="P14" s="506">
        <v>0</v>
      </c>
      <c r="Q14" s="506">
        <v>0</v>
      </c>
      <c r="R14" s="506">
        <v>1</v>
      </c>
      <c r="S14" s="506">
        <v>0</v>
      </c>
      <c r="T14" s="507">
        <f>SUM(O14:S14)</f>
        <v>1</v>
      </c>
      <c r="U14" s="94">
        <f t="shared" si="0"/>
        <v>1.2195121951219512</v>
      </c>
      <c r="V14" s="506">
        <v>0</v>
      </c>
      <c r="W14" s="506">
        <v>0</v>
      </c>
      <c r="X14" s="506">
        <v>0</v>
      </c>
      <c r="Y14" s="506">
        <v>0</v>
      </c>
      <c r="Z14" s="506">
        <v>0</v>
      </c>
      <c r="AA14" s="508">
        <f>SUM(V14:Z14)</f>
        <v>0</v>
      </c>
      <c r="AB14" s="106">
        <f t="shared" si="1"/>
        <v>0</v>
      </c>
      <c r="AC14" s="508">
        <f>0+0+0+0+0</f>
        <v>0</v>
      </c>
      <c r="AD14" s="508">
        <v>0</v>
      </c>
      <c r="AE14" s="508">
        <v>2</v>
      </c>
    </row>
    <row r="15" spans="1:32" ht="15" thickBot="1" x14ac:dyDescent="0.25">
      <c r="A15" s="503" t="s">
        <v>5</v>
      </c>
      <c r="B15" s="504">
        <v>208</v>
      </c>
      <c r="C15" s="504">
        <v>72</v>
      </c>
      <c r="D15" s="504">
        <v>276</v>
      </c>
      <c r="E15" s="504">
        <v>392</v>
      </c>
      <c r="F15" s="504">
        <v>118</v>
      </c>
      <c r="G15" s="505">
        <f t="shared" ref="G15:G24" si="6">SUM(B15:F15)</f>
        <v>1066</v>
      </c>
      <c r="H15" s="506">
        <v>0</v>
      </c>
      <c r="I15" s="506">
        <v>3</v>
      </c>
      <c r="J15" s="506">
        <v>1</v>
      </c>
      <c r="K15" s="506">
        <v>0</v>
      </c>
      <c r="L15" s="507">
        <v>2</v>
      </c>
      <c r="M15" s="507">
        <f>SUM(H15:L15)</f>
        <v>6</v>
      </c>
      <c r="N15" s="106">
        <f t="shared" si="3"/>
        <v>0.56285178236397748</v>
      </c>
      <c r="O15" s="506">
        <v>1</v>
      </c>
      <c r="P15" s="506">
        <v>0</v>
      </c>
      <c r="Q15" s="506">
        <v>2</v>
      </c>
      <c r="R15" s="506">
        <v>2</v>
      </c>
      <c r="S15" s="506">
        <v>3</v>
      </c>
      <c r="T15" s="507">
        <f>SUM(O15:S15)</f>
        <v>8</v>
      </c>
      <c r="U15" s="94">
        <f t="shared" si="0"/>
        <v>0.75046904315196994</v>
      </c>
      <c r="V15" s="506">
        <v>4</v>
      </c>
      <c r="W15" s="506">
        <v>1</v>
      </c>
      <c r="X15" s="506">
        <v>0</v>
      </c>
      <c r="Y15" s="506">
        <v>0</v>
      </c>
      <c r="Z15" s="506">
        <v>1</v>
      </c>
      <c r="AA15" s="507">
        <f>SUM(V15:Z15)</f>
        <v>6</v>
      </c>
      <c r="AB15" s="106">
        <f t="shared" si="1"/>
        <v>0.56285178236397748</v>
      </c>
      <c r="AC15" s="508">
        <v>1</v>
      </c>
      <c r="AD15" s="508">
        <v>2</v>
      </c>
      <c r="AE15" s="508">
        <v>18</v>
      </c>
    </row>
    <row r="16" spans="1:32" ht="15" thickBot="1" x14ac:dyDescent="0.25">
      <c r="A16" s="503" t="s">
        <v>6</v>
      </c>
      <c r="B16" s="528">
        <v>36</v>
      </c>
      <c r="C16" s="504">
        <v>21</v>
      </c>
      <c r="D16" s="504">
        <v>70</v>
      </c>
      <c r="E16" s="504">
        <v>68</v>
      </c>
      <c r="F16" s="504">
        <v>24</v>
      </c>
      <c r="G16" s="505">
        <f t="shared" si="6"/>
        <v>219</v>
      </c>
      <c r="H16" s="506">
        <v>0</v>
      </c>
      <c r="I16" s="506">
        <v>0</v>
      </c>
      <c r="J16" s="506">
        <v>1</v>
      </c>
      <c r="K16" s="506">
        <v>1</v>
      </c>
      <c r="L16" s="507">
        <v>0</v>
      </c>
      <c r="M16" s="508">
        <f t="shared" ref="M16:M20" si="7">SUM(H16:L16)</f>
        <v>2</v>
      </c>
      <c r="N16" s="106">
        <f t="shared" si="3"/>
        <v>0.91324200913242004</v>
      </c>
      <c r="O16" s="506">
        <v>0</v>
      </c>
      <c r="P16" s="506">
        <v>0</v>
      </c>
      <c r="Q16" s="506">
        <v>0</v>
      </c>
      <c r="R16" s="506">
        <v>0</v>
      </c>
      <c r="S16" s="506">
        <v>0</v>
      </c>
      <c r="T16" s="507">
        <f>SUM(O16:S16)</f>
        <v>0</v>
      </c>
      <c r="U16" s="94">
        <f t="shared" si="0"/>
        <v>0</v>
      </c>
      <c r="V16" s="506">
        <v>0</v>
      </c>
      <c r="W16" s="506">
        <v>0</v>
      </c>
      <c r="X16" s="506">
        <v>0</v>
      </c>
      <c r="Y16" s="506">
        <v>0</v>
      </c>
      <c r="Z16" s="506">
        <v>0</v>
      </c>
      <c r="AA16" s="507">
        <f>SUM(V16:Z16)</f>
        <v>0</v>
      </c>
      <c r="AB16" s="106">
        <f t="shared" si="1"/>
        <v>0</v>
      </c>
      <c r="AC16" s="508">
        <v>1</v>
      </c>
      <c r="AD16" s="508">
        <v>0</v>
      </c>
      <c r="AE16" s="508">
        <v>1</v>
      </c>
    </row>
    <row r="17" spans="1:31" ht="15" thickBot="1" x14ac:dyDescent="0.25">
      <c r="A17" s="503" t="s">
        <v>7</v>
      </c>
      <c r="B17" s="504">
        <v>21</v>
      </c>
      <c r="C17" s="504">
        <v>132</v>
      </c>
      <c r="D17" s="504">
        <v>28</v>
      </c>
      <c r="E17" s="504">
        <v>21</v>
      </c>
      <c r="F17" s="504">
        <v>23</v>
      </c>
      <c r="G17" s="505">
        <f t="shared" si="6"/>
        <v>225</v>
      </c>
      <c r="H17" s="506">
        <v>0</v>
      </c>
      <c r="I17" s="506">
        <v>0</v>
      </c>
      <c r="J17" s="506">
        <v>0</v>
      </c>
      <c r="K17" s="506">
        <v>0</v>
      </c>
      <c r="L17" s="507">
        <v>0</v>
      </c>
      <c r="M17" s="507">
        <f>SUM(H17:L17)</f>
        <v>0</v>
      </c>
      <c r="N17" s="106">
        <f t="shared" si="3"/>
        <v>0</v>
      </c>
      <c r="O17" s="506">
        <v>0</v>
      </c>
      <c r="P17" s="506">
        <v>0</v>
      </c>
      <c r="Q17" s="506">
        <v>0</v>
      </c>
      <c r="R17" s="506">
        <v>0</v>
      </c>
      <c r="S17" s="506">
        <v>0</v>
      </c>
      <c r="T17" s="507">
        <f>SUM(O17:S17)</f>
        <v>0</v>
      </c>
      <c r="U17" s="94">
        <f t="shared" si="0"/>
        <v>0</v>
      </c>
      <c r="V17" s="506">
        <v>0</v>
      </c>
      <c r="W17" s="506">
        <v>0</v>
      </c>
      <c r="X17" s="506">
        <v>0</v>
      </c>
      <c r="Y17" s="506">
        <v>0</v>
      </c>
      <c r="Z17" s="506">
        <v>0</v>
      </c>
      <c r="AA17" s="508">
        <f t="shared" ref="AA17:AA20" si="8">SUM(V17:Z17)</f>
        <v>0</v>
      </c>
      <c r="AB17" s="106">
        <f t="shared" si="1"/>
        <v>0</v>
      </c>
      <c r="AC17" s="508">
        <v>0</v>
      </c>
      <c r="AD17" s="508">
        <f t="shared" ref="AD17" si="9">0+0+0+0+0</f>
        <v>0</v>
      </c>
      <c r="AE17" s="508">
        <f>0+0+0+0+0</f>
        <v>0</v>
      </c>
    </row>
    <row r="18" spans="1:31" ht="15" thickBot="1" x14ac:dyDescent="0.25">
      <c r="A18" s="503" t="s">
        <v>8</v>
      </c>
      <c r="B18" s="504">
        <v>9</v>
      </c>
      <c r="C18" s="504">
        <v>2</v>
      </c>
      <c r="D18" s="504">
        <v>5</v>
      </c>
      <c r="E18" s="504">
        <v>11</v>
      </c>
      <c r="F18" s="504">
        <v>7</v>
      </c>
      <c r="G18" s="505">
        <f t="shared" si="6"/>
        <v>34</v>
      </c>
      <c r="H18" s="506">
        <v>0</v>
      </c>
      <c r="I18" s="506">
        <v>0</v>
      </c>
      <c r="J18" s="506">
        <v>0</v>
      </c>
      <c r="K18" s="506">
        <v>0</v>
      </c>
      <c r="L18" s="507">
        <v>0</v>
      </c>
      <c r="M18" s="507">
        <f>SUM(H18:L18)</f>
        <v>0</v>
      </c>
      <c r="N18" s="106">
        <f t="shared" si="3"/>
        <v>0</v>
      </c>
      <c r="O18" s="506">
        <v>0</v>
      </c>
      <c r="P18" s="506">
        <v>0</v>
      </c>
      <c r="Q18" s="506">
        <v>0</v>
      </c>
      <c r="R18" s="506">
        <v>0</v>
      </c>
      <c r="S18" s="506">
        <v>0</v>
      </c>
      <c r="T18" s="508">
        <f t="shared" ref="T18:T20" si="10">SUM(O18:S18)</f>
        <v>0</v>
      </c>
      <c r="U18" s="94">
        <f t="shared" si="0"/>
        <v>0</v>
      </c>
      <c r="V18" s="506">
        <v>0</v>
      </c>
      <c r="W18" s="506">
        <v>0</v>
      </c>
      <c r="X18" s="506">
        <v>0</v>
      </c>
      <c r="Y18" s="506">
        <v>0</v>
      </c>
      <c r="Z18" s="506">
        <v>0</v>
      </c>
      <c r="AA18" s="507">
        <f>SUM(V18:Z18)</f>
        <v>0</v>
      </c>
      <c r="AB18" s="106">
        <f t="shared" si="1"/>
        <v>0</v>
      </c>
      <c r="AC18" s="508">
        <v>0</v>
      </c>
      <c r="AD18" s="508">
        <f>0+0+0+0+0</f>
        <v>0</v>
      </c>
      <c r="AE18" s="508">
        <f>0+0+0+0+0</f>
        <v>0</v>
      </c>
    </row>
    <row r="19" spans="1:31" ht="15" thickBot="1" x14ac:dyDescent="0.25">
      <c r="A19" s="503" t="s">
        <v>9</v>
      </c>
      <c r="B19" s="504">
        <v>14</v>
      </c>
      <c r="C19" s="504">
        <v>8</v>
      </c>
      <c r="D19" s="504">
        <v>21</v>
      </c>
      <c r="E19" s="504">
        <v>9</v>
      </c>
      <c r="F19" s="504">
        <v>6</v>
      </c>
      <c r="G19" s="505">
        <f t="shared" si="6"/>
        <v>58</v>
      </c>
      <c r="H19" s="506">
        <v>2</v>
      </c>
      <c r="I19" s="506">
        <v>0</v>
      </c>
      <c r="J19" s="506">
        <v>0</v>
      </c>
      <c r="K19" s="506">
        <v>0</v>
      </c>
      <c r="L19" s="507">
        <v>0</v>
      </c>
      <c r="M19" s="508">
        <f t="shared" si="7"/>
        <v>2</v>
      </c>
      <c r="N19" s="106">
        <f t="shared" si="3"/>
        <v>3.4482758620689653</v>
      </c>
      <c r="O19" s="506">
        <v>0</v>
      </c>
      <c r="P19" s="506">
        <v>0</v>
      </c>
      <c r="Q19" s="506">
        <v>0</v>
      </c>
      <c r="R19" s="506">
        <v>0</v>
      </c>
      <c r="S19" s="506">
        <v>0</v>
      </c>
      <c r="T19" s="508">
        <f t="shared" si="10"/>
        <v>0</v>
      </c>
      <c r="U19" s="94">
        <f t="shared" si="0"/>
        <v>0</v>
      </c>
      <c r="V19" s="506">
        <v>0</v>
      </c>
      <c r="W19" s="506">
        <v>0</v>
      </c>
      <c r="X19" s="506">
        <v>0</v>
      </c>
      <c r="Y19" s="506">
        <v>0</v>
      </c>
      <c r="Z19" s="506">
        <v>0</v>
      </c>
      <c r="AA19" s="508">
        <f t="shared" si="8"/>
        <v>0</v>
      </c>
      <c r="AB19" s="106">
        <f t="shared" si="1"/>
        <v>0</v>
      </c>
      <c r="AC19" s="508">
        <v>2</v>
      </c>
      <c r="AD19" s="508">
        <v>1</v>
      </c>
      <c r="AE19" s="508">
        <v>19</v>
      </c>
    </row>
    <row r="20" spans="1:31" ht="15" thickBot="1" x14ac:dyDescent="0.25">
      <c r="A20" s="503" t="s">
        <v>10</v>
      </c>
      <c r="B20" s="504">
        <v>7</v>
      </c>
      <c r="C20" s="504">
        <v>3</v>
      </c>
      <c r="D20" s="504">
        <v>8</v>
      </c>
      <c r="E20" s="504">
        <v>18</v>
      </c>
      <c r="F20" s="504">
        <v>2</v>
      </c>
      <c r="G20" s="505">
        <f t="shared" si="6"/>
        <v>38</v>
      </c>
      <c r="H20" s="506">
        <v>0</v>
      </c>
      <c r="I20" s="506">
        <v>0</v>
      </c>
      <c r="J20" s="506">
        <v>0</v>
      </c>
      <c r="K20" s="506">
        <v>0</v>
      </c>
      <c r="L20" s="507">
        <v>0</v>
      </c>
      <c r="M20" s="508">
        <f t="shared" si="7"/>
        <v>0</v>
      </c>
      <c r="N20" s="106">
        <f t="shared" si="3"/>
        <v>0</v>
      </c>
      <c r="O20" s="506">
        <v>0</v>
      </c>
      <c r="P20" s="506">
        <v>0</v>
      </c>
      <c r="Q20" s="506">
        <v>0</v>
      </c>
      <c r="R20" s="506">
        <v>0</v>
      </c>
      <c r="S20" s="506">
        <v>0</v>
      </c>
      <c r="T20" s="508">
        <f t="shared" si="10"/>
        <v>0</v>
      </c>
      <c r="U20" s="94">
        <f t="shared" si="0"/>
        <v>0</v>
      </c>
      <c r="V20" s="506">
        <v>0</v>
      </c>
      <c r="W20" s="506">
        <v>0</v>
      </c>
      <c r="X20" s="506">
        <v>0</v>
      </c>
      <c r="Y20" s="506">
        <v>0</v>
      </c>
      <c r="Z20" s="506">
        <v>0</v>
      </c>
      <c r="AA20" s="508">
        <f t="shared" si="8"/>
        <v>0</v>
      </c>
      <c r="AB20" s="106">
        <f t="shared" si="1"/>
        <v>0</v>
      </c>
      <c r="AC20" s="508">
        <v>0</v>
      </c>
      <c r="AD20" s="508">
        <v>0</v>
      </c>
      <c r="AE20" s="508">
        <f>0+0+0+0+0</f>
        <v>0</v>
      </c>
    </row>
    <row r="21" spans="1:31" ht="15" thickBot="1" x14ac:dyDescent="0.25">
      <c r="A21" s="503" t="s">
        <v>11</v>
      </c>
      <c r="B21" s="504">
        <v>110</v>
      </c>
      <c r="C21" s="504">
        <v>20</v>
      </c>
      <c r="D21" s="504">
        <v>123</v>
      </c>
      <c r="E21" s="504">
        <v>177</v>
      </c>
      <c r="F21" s="504">
        <v>62</v>
      </c>
      <c r="G21" s="505">
        <f t="shared" si="6"/>
        <v>492</v>
      </c>
      <c r="H21" s="506">
        <v>3</v>
      </c>
      <c r="I21" s="506">
        <v>2</v>
      </c>
      <c r="J21" s="506">
        <v>0</v>
      </c>
      <c r="K21" s="506">
        <v>0</v>
      </c>
      <c r="L21" s="507">
        <v>0</v>
      </c>
      <c r="M21" s="507">
        <f>SUM(H21:L21)</f>
        <v>5</v>
      </c>
      <c r="N21" s="106">
        <f t="shared" si="3"/>
        <v>1.0162601626016261</v>
      </c>
      <c r="O21" s="506">
        <v>2</v>
      </c>
      <c r="P21" s="506">
        <v>0</v>
      </c>
      <c r="Q21" s="506">
        <v>2</v>
      </c>
      <c r="R21" s="506">
        <v>0</v>
      </c>
      <c r="S21" s="506">
        <v>2</v>
      </c>
      <c r="T21" s="507">
        <f>SUM(O21:S21)</f>
        <v>6</v>
      </c>
      <c r="U21" s="94">
        <f t="shared" si="0"/>
        <v>1.2195121951219512</v>
      </c>
      <c r="V21" s="506">
        <v>0</v>
      </c>
      <c r="W21" s="506">
        <v>0</v>
      </c>
      <c r="X21" s="506">
        <v>1</v>
      </c>
      <c r="Y21" s="506">
        <v>0</v>
      </c>
      <c r="Z21" s="506">
        <v>1</v>
      </c>
      <c r="AA21" s="507">
        <f>SUM(V21:Z21)</f>
        <v>2</v>
      </c>
      <c r="AB21" s="106">
        <f t="shared" si="1"/>
        <v>0.4065040650406504</v>
      </c>
      <c r="AC21" s="508">
        <v>4</v>
      </c>
      <c r="AD21" s="508">
        <v>1</v>
      </c>
      <c r="AE21" s="508">
        <v>6</v>
      </c>
    </row>
    <row r="22" spans="1:31" ht="15" thickBot="1" x14ac:dyDescent="0.25">
      <c r="A22" s="503" t="s">
        <v>12</v>
      </c>
      <c r="B22" s="504">
        <v>783</v>
      </c>
      <c r="C22" s="504">
        <v>369</v>
      </c>
      <c r="D22" s="504">
        <v>1340</v>
      </c>
      <c r="E22" s="504">
        <v>1238</v>
      </c>
      <c r="F22" s="504">
        <v>610</v>
      </c>
      <c r="G22" s="505">
        <f t="shared" si="6"/>
        <v>4340</v>
      </c>
      <c r="H22" s="506">
        <v>6</v>
      </c>
      <c r="I22" s="506">
        <v>1</v>
      </c>
      <c r="J22" s="506">
        <v>9</v>
      </c>
      <c r="K22" s="506">
        <v>5</v>
      </c>
      <c r="L22" s="507">
        <v>2</v>
      </c>
      <c r="M22" s="507">
        <f>SUM(H22:L22)</f>
        <v>23</v>
      </c>
      <c r="N22" s="106">
        <f t="shared" si="3"/>
        <v>0.52995391705069128</v>
      </c>
      <c r="O22" s="506">
        <v>4</v>
      </c>
      <c r="P22" s="506">
        <v>1</v>
      </c>
      <c r="Q22" s="506">
        <v>1</v>
      </c>
      <c r="R22" s="506">
        <v>3</v>
      </c>
      <c r="S22" s="506">
        <v>1</v>
      </c>
      <c r="T22" s="507">
        <f>SUM(O22:S22)</f>
        <v>10</v>
      </c>
      <c r="U22" s="94">
        <f t="shared" si="0"/>
        <v>0.2304147465437788</v>
      </c>
      <c r="V22" s="506">
        <v>4</v>
      </c>
      <c r="W22" s="506">
        <v>3</v>
      </c>
      <c r="X22" s="506">
        <v>1</v>
      </c>
      <c r="Y22" s="506">
        <v>1</v>
      </c>
      <c r="Z22" s="506">
        <v>0</v>
      </c>
      <c r="AA22" s="507">
        <f>SUM(V22:Z22)</f>
        <v>9</v>
      </c>
      <c r="AB22" s="106">
        <f t="shared" si="1"/>
        <v>0.20737327188940091</v>
      </c>
      <c r="AC22" s="508">
        <v>2</v>
      </c>
      <c r="AD22" s="508">
        <v>5</v>
      </c>
      <c r="AE22" s="508">
        <v>75</v>
      </c>
    </row>
    <row r="23" spans="1:31" ht="15" thickBot="1" x14ac:dyDescent="0.25">
      <c r="A23" s="503" t="s">
        <v>13</v>
      </c>
      <c r="B23" s="504">
        <v>29</v>
      </c>
      <c r="C23" s="504">
        <v>4</v>
      </c>
      <c r="D23" s="504">
        <v>5</v>
      </c>
      <c r="E23" s="504">
        <v>7</v>
      </c>
      <c r="F23" s="504">
        <v>4</v>
      </c>
      <c r="G23" s="505">
        <f t="shared" si="6"/>
        <v>49</v>
      </c>
      <c r="H23" s="506">
        <v>0</v>
      </c>
      <c r="I23" s="506">
        <v>0</v>
      </c>
      <c r="J23" s="506">
        <v>0</v>
      </c>
      <c r="K23" s="506">
        <v>0</v>
      </c>
      <c r="L23" s="507">
        <v>0</v>
      </c>
      <c r="M23" s="507">
        <f>SUM(H23:L23)</f>
        <v>0</v>
      </c>
      <c r="N23" s="106">
        <f t="shared" si="3"/>
        <v>0</v>
      </c>
      <c r="O23" s="506">
        <v>1</v>
      </c>
      <c r="P23" s="506">
        <v>0</v>
      </c>
      <c r="Q23" s="506">
        <v>0</v>
      </c>
      <c r="R23" s="506">
        <v>0</v>
      </c>
      <c r="S23" s="506">
        <v>0</v>
      </c>
      <c r="T23" s="507">
        <f>SUM(O23:S23)</f>
        <v>1</v>
      </c>
      <c r="U23" s="94">
        <f t="shared" si="0"/>
        <v>2.0408163265306123</v>
      </c>
      <c r="V23" s="506">
        <v>1</v>
      </c>
      <c r="W23" s="506">
        <v>0</v>
      </c>
      <c r="X23" s="506">
        <v>0</v>
      </c>
      <c r="Y23" s="506">
        <v>0</v>
      </c>
      <c r="Z23" s="506">
        <v>0</v>
      </c>
      <c r="AA23" s="507">
        <f>SUM(V23:Z23)</f>
        <v>1</v>
      </c>
      <c r="AB23" s="106">
        <f t="shared" si="1"/>
        <v>2.0408163265306123</v>
      </c>
      <c r="AC23" s="508">
        <v>0</v>
      </c>
      <c r="AD23" s="508">
        <v>0</v>
      </c>
      <c r="AE23" s="508">
        <v>2</v>
      </c>
    </row>
    <row r="24" spans="1:31" ht="24.75" thickBot="1" x14ac:dyDescent="0.25">
      <c r="A24" s="510" t="s">
        <v>23</v>
      </c>
      <c r="B24" s="518">
        <v>475</v>
      </c>
      <c r="C24" s="518">
        <v>207</v>
      </c>
      <c r="D24" s="504">
        <v>547</v>
      </c>
      <c r="E24" s="518">
        <v>786</v>
      </c>
      <c r="F24" s="504">
        <v>242</v>
      </c>
      <c r="G24" s="505">
        <f t="shared" si="6"/>
        <v>2257</v>
      </c>
      <c r="H24" s="519">
        <v>2</v>
      </c>
      <c r="I24" s="506">
        <v>6</v>
      </c>
      <c r="J24" s="506">
        <v>1</v>
      </c>
      <c r="K24" s="506">
        <v>1</v>
      </c>
      <c r="L24" s="507">
        <v>0</v>
      </c>
      <c r="M24" s="507">
        <f>SUM(H24:L24)</f>
        <v>10</v>
      </c>
      <c r="N24" s="106">
        <f t="shared" si="3"/>
        <v>0.44306601683650865</v>
      </c>
      <c r="O24" s="519">
        <v>2</v>
      </c>
      <c r="P24" s="506">
        <v>10</v>
      </c>
      <c r="Q24" s="519">
        <v>4</v>
      </c>
      <c r="R24" s="519">
        <v>2</v>
      </c>
      <c r="S24" s="506">
        <v>1</v>
      </c>
      <c r="T24" s="507">
        <f>SUM(O24:S24)</f>
        <v>19</v>
      </c>
      <c r="U24" s="94">
        <f t="shared" si="0"/>
        <v>0.84182543198936644</v>
      </c>
      <c r="V24" s="519">
        <v>0</v>
      </c>
      <c r="W24" s="519">
        <v>0</v>
      </c>
      <c r="X24" s="519">
        <v>1</v>
      </c>
      <c r="Y24" s="519">
        <v>1</v>
      </c>
      <c r="Z24" s="519">
        <v>1</v>
      </c>
      <c r="AA24" s="507">
        <f>SUM(V24:Z24)</f>
        <v>3</v>
      </c>
      <c r="AB24" s="106">
        <f t="shared" si="1"/>
        <v>0.13291980505095261</v>
      </c>
      <c r="AC24" s="508">
        <v>1</v>
      </c>
      <c r="AD24" s="508">
        <v>3</v>
      </c>
      <c r="AE24" s="508">
        <v>28</v>
      </c>
    </row>
    <row r="25" spans="1:31" ht="15" thickBot="1" x14ac:dyDescent="0.25">
      <c r="A25" s="520" t="s">
        <v>22</v>
      </c>
      <c r="B25" s="521">
        <f t="shared" ref="B25:M25" si="11">SUM(B14:B24)</f>
        <v>1707</v>
      </c>
      <c r="C25" s="521">
        <f t="shared" si="11"/>
        <v>842</v>
      </c>
      <c r="D25" s="521">
        <f t="shared" si="11"/>
        <v>2446</v>
      </c>
      <c r="E25" s="521">
        <f t="shared" si="11"/>
        <v>2764</v>
      </c>
      <c r="F25" s="521">
        <f t="shared" si="11"/>
        <v>1101</v>
      </c>
      <c r="G25" s="603">
        <f t="shared" si="11"/>
        <v>8860</v>
      </c>
      <c r="H25" s="522">
        <f t="shared" si="11"/>
        <v>13</v>
      </c>
      <c r="I25" s="522">
        <f t="shared" si="11"/>
        <v>12</v>
      </c>
      <c r="J25" s="522">
        <f t="shared" si="11"/>
        <v>12</v>
      </c>
      <c r="K25" s="522">
        <f t="shared" si="11"/>
        <v>7</v>
      </c>
      <c r="L25" s="522">
        <f t="shared" si="11"/>
        <v>4</v>
      </c>
      <c r="M25" s="329">
        <f t="shared" si="11"/>
        <v>48</v>
      </c>
      <c r="N25" s="604">
        <f t="shared" si="3"/>
        <v>0.54176072234762984</v>
      </c>
      <c r="O25" s="522">
        <f t="shared" ref="O25:T25" si="12">SUM(O14:O24)</f>
        <v>10</v>
      </c>
      <c r="P25" s="522">
        <f t="shared" si="12"/>
        <v>11</v>
      </c>
      <c r="Q25" s="522">
        <f t="shared" si="12"/>
        <v>9</v>
      </c>
      <c r="R25" s="522">
        <f t="shared" si="12"/>
        <v>8</v>
      </c>
      <c r="S25" s="522">
        <f t="shared" si="12"/>
        <v>7</v>
      </c>
      <c r="T25" s="329">
        <f t="shared" si="12"/>
        <v>45</v>
      </c>
      <c r="U25" s="606">
        <f t="shared" si="0"/>
        <v>0.50790067720090293</v>
      </c>
      <c r="V25" s="522">
        <f t="shared" ref="V25:AA25" si="13">SUM(V14:V24)</f>
        <v>9</v>
      </c>
      <c r="W25" s="522">
        <f t="shared" si="13"/>
        <v>4</v>
      </c>
      <c r="X25" s="522">
        <f t="shared" si="13"/>
        <v>3</v>
      </c>
      <c r="Y25" s="522">
        <f t="shared" si="13"/>
        <v>2</v>
      </c>
      <c r="Z25" s="522">
        <f t="shared" si="13"/>
        <v>3</v>
      </c>
      <c r="AA25" s="329">
        <f t="shared" si="13"/>
        <v>21</v>
      </c>
      <c r="AB25" s="606">
        <f t="shared" si="1"/>
        <v>0.23702031602708803</v>
      </c>
      <c r="AC25" s="132">
        <f>SUM(AC14:AC24)</f>
        <v>11</v>
      </c>
      <c r="AD25" s="132">
        <f>SUM(AD14:AD24)</f>
        <v>12</v>
      </c>
      <c r="AE25" s="132">
        <f>SUM(AE14:AE24)</f>
        <v>151</v>
      </c>
    </row>
    <row r="26" spans="1:31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1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95"/>
      <c r="O27" s="74"/>
      <c r="P27" s="74"/>
      <c r="Q27" s="74"/>
      <c r="R27" s="74"/>
      <c r="S27" s="74"/>
      <c r="T27" s="88"/>
      <c r="U27" s="151"/>
      <c r="AA27" s="99"/>
      <c r="AC27" s="99"/>
      <c r="AD27" s="113"/>
      <c r="AE27" s="99"/>
    </row>
    <row r="28" spans="1:31" ht="15" thickBot="1" x14ac:dyDescent="0.25">
      <c r="A28" s="503" t="s">
        <v>15</v>
      </c>
      <c r="B28" s="504">
        <v>2777</v>
      </c>
      <c r="C28" s="504">
        <v>1959</v>
      </c>
      <c r="D28" s="504">
        <v>3103</v>
      </c>
      <c r="E28" s="504">
        <v>3045</v>
      </c>
      <c r="F28" s="504">
        <v>2835</v>
      </c>
      <c r="G28" s="505">
        <f>SUM(B28:F28)</f>
        <v>13719</v>
      </c>
      <c r="H28" s="506">
        <v>1</v>
      </c>
      <c r="I28" s="506">
        <v>1</v>
      </c>
      <c r="J28" s="506">
        <v>2</v>
      </c>
      <c r="K28" s="506">
        <v>0</v>
      </c>
      <c r="L28" s="507">
        <v>2</v>
      </c>
      <c r="M28" s="507">
        <f t="shared" ref="M28:M36" si="14">SUM(H28:L28)</f>
        <v>6</v>
      </c>
      <c r="N28" s="94">
        <f t="shared" si="3"/>
        <v>4.3734966105401271E-2</v>
      </c>
      <c r="O28" s="506">
        <v>2</v>
      </c>
      <c r="P28" s="506">
        <v>3</v>
      </c>
      <c r="Q28" s="506">
        <v>5</v>
      </c>
      <c r="R28" s="506">
        <v>2</v>
      </c>
      <c r="S28" s="506">
        <v>0</v>
      </c>
      <c r="T28" s="524">
        <f>SUM(O28:S28)</f>
        <v>12</v>
      </c>
      <c r="U28" s="94">
        <f t="shared" si="0"/>
        <v>8.7469932210802542E-2</v>
      </c>
      <c r="V28" s="506">
        <v>1</v>
      </c>
      <c r="W28" s="506">
        <v>2</v>
      </c>
      <c r="X28" s="506">
        <v>2</v>
      </c>
      <c r="Y28" s="506">
        <v>0</v>
      </c>
      <c r="Z28" s="506">
        <v>0</v>
      </c>
      <c r="AA28" s="507">
        <f t="shared" ref="AA28:AA36" si="15">SUM(V28:Z28)</f>
        <v>5</v>
      </c>
      <c r="AB28" s="106">
        <f t="shared" si="1"/>
        <v>3.644580508783439E-2</v>
      </c>
      <c r="AC28" s="508">
        <v>2</v>
      </c>
      <c r="AD28" s="508">
        <v>0</v>
      </c>
      <c r="AE28" s="508">
        <v>25</v>
      </c>
    </row>
    <row r="29" spans="1:31" ht="15" thickBot="1" x14ac:dyDescent="0.25">
      <c r="A29" s="503" t="s">
        <v>16</v>
      </c>
      <c r="B29" s="504">
        <v>1110</v>
      </c>
      <c r="C29" s="504">
        <v>816</v>
      </c>
      <c r="D29" s="504">
        <v>1424</v>
      </c>
      <c r="E29" s="504">
        <v>1412</v>
      </c>
      <c r="F29" s="504">
        <v>880</v>
      </c>
      <c r="G29" s="505">
        <f t="shared" ref="G29:G36" si="16">SUM(B29:F29)</f>
        <v>5642</v>
      </c>
      <c r="H29" s="506">
        <v>3</v>
      </c>
      <c r="I29" s="506">
        <v>4</v>
      </c>
      <c r="J29" s="506">
        <v>17</v>
      </c>
      <c r="K29" s="506">
        <v>3</v>
      </c>
      <c r="L29" s="507">
        <v>4</v>
      </c>
      <c r="M29" s="507">
        <f t="shared" si="14"/>
        <v>31</v>
      </c>
      <c r="N29" s="94">
        <f t="shared" si="3"/>
        <v>0.5494505494505495</v>
      </c>
      <c r="O29" s="506">
        <v>4</v>
      </c>
      <c r="P29" s="506">
        <v>2</v>
      </c>
      <c r="Q29" s="506">
        <v>11</v>
      </c>
      <c r="R29" s="506">
        <v>1</v>
      </c>
      <c r="S29" s="506">
        <v>1</v>
      </c>
      <c r="T29" s="507">
        <f t="shared" ref="T29:T36" si="17">SUM(O29:S29)</f>
        <v>19</v>
      </c>
      <c r="U29" s="94">
        <f t="shared" si="0"/>
        <v>0.33676001417936902</v>
      </c>
      <c r="V29" s="506">
        <v>2</v>
      </c>
      <c r="W29" s="506">
        <v>1</v>
      </c>
      <c r="X29" s="506">
        <v>1</v>
      </c>
      <c r="Y29" s="506">
        <v>1</v>
      </c>
      <c r="Z29" s="506">
        <v>1</v>
      </c>
      <c r="AA29" s="507">
        <f t="shared" si="15"/>
        <v>6</v>
      </c>
      <c r="AB29" s="106">
        <f t="shared" si="1"/>
        <v>0.10634526763559021</v>
      </c>
      <c r="AC29" s="508">
        <v>8</v>
      </c>
      <c r="AD29" s="508">
        <v>1</v>
      </c>
      <c r="AE29" s="508">
        <v>50</v>
      </c>
    </row>
    <row r="30" spans="1:31" ht="15" thickBot="1" x14ac:dyDescent="0.25">
      <c r="A30" s="503" t="s">
        <v>35</v>
      </c>
      <c r="B30" s="504">
        <v>888</v>
      </c>
      <c r="C30" s="504">
        <v>685</v>
      </c>
      <c r="D30" s="504">
        <v>767</v>
      </c>
      <c r="E30" s="504">
        <v>829</v>
      </c>
      <c r="F30" s="504">
        <v>1113</v>
      </c>
      <c r="G30" s="505">
        <f t="shared" si="16"/>
        <v>4282</v>
      </c>
      <c r="H30" s="506">
        <v>1</v>
      </c>
      <c r="I30" s="506">
        <v>0</v>
      </c>
      <c r="J30" s="506">
        <v>7</v>
      </c>
      <c r="K30" s="506">
        <v>2</v>
      </c>
      <c r="L30" s="507">
        <v>2</v>
      </c>
      <c r="M30" s="507">
        <f t="shared" si="14"/>
        <v>12</v>
      </c>
      <c r="N30" s="94">
        <f t="shared" si="3"/>
        <v>0.28024287716020552</v>
      </c>
      <c r="O30" s="506">
        <v>3</v>
      </c>
      <c r="P30" s="506">
        <v>3</v>
      </c>
      <c r="Q30" s="506">
        <v>5</v>
      </c>
      <c r="R30" s="506">
        <v>5</v>
      </c>
      <c r="S30" s="506">
        <v>3</v>
      </c>
      <c r="T30" s="507">
        <f t="shared" si="17"/>
        <v>19</v>
      </c>
      <c r="U30" s="94">
        <f t="shared" si="0"/>
        <v>0.44371788883699204</v>
      </c>
      <c r="V30" s="506">
        <v>2</v>
      </c>
      <c r="W30" s="506">
        <v>0</v>
      </c>
      <c r="X30" s="506">
        <v>0</v>
      </c>
      <c r="Y30" s="506">
        <v>0</v>
      </c>
      <c r="Z30" s="506">
        <v>0</v>
      </c>
      <c r="AA30" s="507">
        <f t="shared" si="15"/>
        <v>2</v>
      </c>
      <c r="AB30" s="106">
        <f t="shared" si="1"/>
        <v>4.6707146193367584E-2</v>
      </c>
      <c r="AC30" s="508">
        <v>3</v>
      </c>
      <c r="AD30" s="508">
        <v>0</v>
      </c>
      <c r="AE30" s="508">
        <v>19</v>
      </c>
    </row>
    <row r="31" spans="1:31" ht="15" thickBot="1" x14ac:dyDescent="0.25">
      <c r="A31" s="503" t="s">
        <v>17</v>
      </c>
      <c r="B31" s="504">
        <v>6545</v>
      </c>
      <c r="C31" s="504">
        <v>3594</v>
      </c>
      <c r="D31" s="504">
        <v>6734</v>
      </c>
      <c r="E31" s="504">
        <v>6908</v>
      </c>
      <c r="F31" s="504">
        <v>6439</v>
      </c>
      <c r="G31" s="505">
        <f t="shared" si="16"/>
        <v>30220</v>
      </c>
      <c r="H31" s="506">
        <v>2</v>
      </c>
      <c r="I31" s="506">
        <v>5</v>
      </c>
      <c r="J31" s="506">
        <v>3</v>
      </c>
      <c r="K31" s="506">
        <v>1</v>
      </c>
      <c r="L31" s="507">
        <v>1</v>
      </c>
      <c r="M31" s="507">
        <f t="shared" si="14"/>
        <v>12</v>
      </c>
      <c r="N31" s="94">
        <f t="shared" si="3"/>
        <v>3.9708802117802783E-2</v>
      </c>
      <c r="O31" s="506">
        <v>1</v>
      </c>
      <c r="P31" s="506">
        <v>0</v>
      </c>
      <c r="Q31" s="506">
        <v>5</v>
      </c>
      <c r="R31" s="506">
        <v>0</v>
      </c>
      <c r="S31" s="506">
        <v>1</v>
      </c>
      <c r="T31" s="507">
        <f t="shared" si="17"/>
        <v>7</v>
      </c>
      <c r="U31" s="94">
        <f t="shared" si="0"/>
        <v>2.3163467902051621E-2</v>
      </c>
      <c r="V31" s="506">
        <v>5</v>
      </c>
      <c r="W31" s="506">
        <v>0</v>
      </c>
      <c r="X31" s="506">
        <v>2</v>
      </c>
      <c r="Y31" s="506">
        <v>0</v>
      </c>
      <c r="Z31" s="506">
        <v>1</v>
      </c>
      <c r="AA31" s="507">
        <f t="shared" si="15"/>
        <v>8</v>
      </c>
      <c r="AB31" s="106">
        <f t="shared" si="1"/>
        <v>2.6472534745201854E-2</v>
      </c>
      <c r="AC31" s="508">
        <v>1</v>
      </c>
      <c r="AD31" s="508">
        <v>0</v>
      </c>
      <c r="AE31" s="508">
        <v>68</v>
      </c>
    </row>
    <row r="32" spans="1:31" ht="15" thickBot="1" x14ac:dyDescent="0.25">
      <c r="A32" s="503" t="s">
        <v>18</v>
      </c>
      <c r="B32" s="504">
        <v>1566</v>
      </c>
      <c r="C32" s="504">
        <v>1137</v>
      </c>
      <c r="D32" s="504">
        <v>854</v>
      </c>
      <c r="E32" s="504">
        <v>1402</v>
      </c>
      <c r="F32" s="504">
        <v>2621</v>
      </c>
      <c r="G32" s="505">
        <f t="shared" si="16"/>
        <v>7580</v>
      </c>
      <c r="H32" s="506">
        <v>0</v>
      </c>
      <c r="I32" s="506">
        <v>0</v>
      </c>
      <c r="J32" s="506">
        <v>5</v>
      </c>
      <c r="K32" s="506">
        <v>1</v>
      </c>
      <c r="L32" s="507">
        <v>3</v>
      </c>
      <c r="M32" s="507">
        <f t="shared" si="14"/>
        <v>9</v>
      </c>
      <c r="N32" s="94">
        <f t="shared" si="3"/>
        <v>0.11873350923482849</v>
      </c>
      <c r="O32" s="506">
        <v>2</v>
      </c>
      <c r="P32" s="506">
        <v>3</v>
      </c>
      <c r="Q32" s="506">
        <v>2</v>
      </c>
      <c r="R32" s="506">
        <v>1</v>
      </c>
      <c r="S32" s="506">
        <v>3</v>
      </c>
      <c r="T32" s="507">
        <f t="shared" si="17"/>
        <v>11</v>
      </c>
      <c r="U32" s="94">
        <f t="shared" si="0"/>
        <v>0.14511873350923482</v>
      </c>
      <c r="V32" s="506">
        <v>1</v>
      </c>
      <c r="W32" s="506">
        <v>0</v>
      </c>
      <c r="X32" s="506">
        <v>0</v>
      </c>
      <c r="Y32" s="506">
        <v>0</v>
      </c>
      <c r="Z32" s="506">
        <v>0</v>
      </c>
      <c r="AA32" s="507">
        <f t="shared" si="15"/>
        <v>1</v>
      </c>
      <c r="AB32" s="106">
        <f t="shared" si="1"/>
        <v>1.3192612137203167E-2</v>
      </c>
      <c r="AC32" s="508">
        <v>9</v>
      </c>
      <c r="AD32" s="508">
        <v>2</v>
      </c>
      <c r="AE32" s="508">
        <v>16</v>
      </c>
    </row>
    <row r="33" spans="1:33" ht="15" thickBot="1" x14ac:dyDescent="0.25">
      <c r="A33" s="503" t="s">
        <v>19</v>
      </c>
      <c r="B33" s="504">
        <v>8176</v>
      </c>
      <c r="C33" s="504">
        <v>5780</v>
      </c>
      <c r="D33" s="504">
        <v>10377</v>
      </c>
      <c r="E33" s="504">
        <v>9310</v>
      </c>
      <c r="F33" s="504">
        <v>6478</v>
      </c>
      <c r="G33" s="505">
        <f t="shared" si="16"/>
        <v>40121</v>
      </c>
      <c r="H33" s="506">
        <v>30</v>
      </c>
      <c r="I33" s="506">
        <v>14</v>
      </c>
      <c r="J33" s="506">
        <v>35</v>
      </c>
      <c r="K33" s="506">
        <v>28</v>
      </c>
      <c r="L33" s="507">
        <v>15</v>
      </c>
      <c r="M33" s="507">
        <f t="shared" si="14"/>
        <v>122</v>
      </c>
      <c r="N33" s="94">
        <f t="shared" si="3"/>
        <v>0.30408015752349143</v>
      </c>
      <c r="O33" s="506">
        <v>28</v>
      </c>
      <c r="P33" s="506">
        <v>14</v>
      </c>
      <c r="Q33" s="506">
        <v>33</v>
      </c>
      <c r="R33" s="506">
        <v>18</v>
      </c>
      <c r="S33" s="506">
        <v>23</v>
      </c>
      <c r="T33" s="507">
        <f t="shared" si="17"/>
        <v>116</v>
      </c>
      <c r="U33" s="94">
        <f t="shared" si="0"/>
        <v>0.28912539567807383</v>
      </c>
      <c r="V33" s="506">
        <v>11</v>
      </c>
      <c r="W33" s="506">
        <v>4</v>
      </c>
      <c r="X33" s="506">
        <v>29</v>
      </c>
      <c r="Y33" s="506">
        <v>6</v>
      </c>
      <c r="Z33" s="506">
        <v>2</v>
      </c>
      <c r="AA33" s="507">
        <f t="shared" si="15"/>
        <v>52</v>
      </c>
      <c r="AB33" s="106">
        <f t="shared" si="1"/>
        <v>0.12960793599361931</v>
      </c>
      <c r="AC33" s="508">
        <v>36</v>
      </c>
      <c r="AD33" s="508">
        <v>8</v>
      </c>
      <c r="AE33" s="508">
        <v>258</v>
      </c>
    </row>
    <row r="34" spans="1:33" ht="15" thickBot="1" x14ac:dyDescent="0.25">
      <c r="A34" s="503" t="s">
        <v>20</v>
      </c>
      <c r="B34" s="504">
        <v>7346</v>
      </c>
      <c r="C34" s="504">
        <v>4624</v>
      </c>
      <c r="D34" s="504">
        <v>7610</v>
      </c>
      <c r="E34" s="504">
        <v>8636</v>
      </c>
      <c r="F34" s="504">
        <v>4325</v>
      </c>
      <c r="G34" s="505">
        <f t="shared" si="16"/>
        <v>32541</v>
      </c>
      <c r="H34" s="506">
        <v>17</v>
      </c>
      <c r="I34" s="506">
        <v>6</v>
      </c>
      <c r="J34" s="506">
        <v>13</v>
      </c>
      <c r="K34" s="506">
        <v>12</v>
      </c>
      <c r="L34" s="507">
        <v>5</v>
      </c>
      <c r="M34" s="507">
        <f t="shared" si="14"/>
        <v>53</v>
      </c>
      <c r="N34" s="94">
        <f t="shared" si="3"/>
        <v>0.16287145447281889</v>
      </c>
      <c r="O34" s="506">
        <v>19</v>
      </c>
      <c r="P34" s="506">
        <v>6</v>
      </c>
      <c r="Q34" s="506">
        <v>30</v>
      </c>
      <c r="R34" s="506">
        <v>13</v>
      </c>
      <c r="S34" s="506">
        <v>6</v>
      </c>
      <c r="T34" s="507">
        <f t="shared" si="17"/>
        <v>74</v>
      </c>
      <c r="U34" s="94">
        <f t="shared" si="0"/>
        <v>0.22740542699978489</v>
      </c>
      <c r="V34" s="506">
        <v>18</v>
      </c>
      <c r="W34" s="506">
        <v>2</v>
      </c>
      <c r="X34" s="506">
        <v>13</v>
      </c>
      <c r="Y34" s="506">
        <v>2</v>
      </c>
      <c r="Z34" s="506">
        <v>4</v>
      </c>
      <c r="AA34" s="507">
        <f t="shared" si="15"/>
        <v>39</v>
      </c>
      <c r="AB34" s="106">
        <f t="shared" si="1"/>
        <v>0.11984880612150825</v>
      </c>
      <c r="AC34" s="508">
        <v>28</v>
      </c>
      <c r="AD34" s="508">
        <v>7</v>
      </c>
      <c r="AE34" s="508">
        <v>173</v>
      </c>
    </row>
    <row r="35" spans="1:33" ht="15" thickBot="1" x14ac:dyDescent="0.25">
      <c r="A35" s="503" t="s">
        <v>25</v>
      </c>
      <c r="B35" s="504">
        <v>219</v>
      </c>
      <c r="C35" s="504">
        <v>78</v>
      </c>
      <c r="D35" s="504">
        <v>138</v>
      </c>
      <c r="E35" s="504">
        <v>126</v>
      </c>
      <c r="F35" s="504">
        <v>115</v>
      </c>
      <c r="G35" s="505">
        <f t="shared" si="16"/>
        <v>676</v>
      </c>
      <c r="H35" s="506">
        <v>1</v>
      </c>
      <c r="I35" s="506">
        <v>0</v>
      </c>
      <c r="J35" s="506">
        <v>15</v>
      </c>
      <c r="K35" s="506">
        <v>1</v>
      </c>
      <c r="L35" s="507">
        <v>0</v>
      </c>
      <c r="M35" s="507">
        <f t="shared" si="14"/>
        <v>17</v>
      </c>
      <c r="N35" s="94">
        <f t="shared" si="3"/>
        <v>2.5147928994082842</v>
      </c>
      <c r="O35" s="506">
        <v>0</v>
      </c>
      <c r="P35" s="506">
        <v>0</v>
      </c>
      <c r="Q35" s="506">
        <v>15</v>
      </c>
      <c r="R35" s="506">
        <v>0</v>
      </c>
      <c r="S35" s="506">
        <v>0</v>
      </c>
      <c r="T35" s="507">
        <f t="shared" si="17"/>
        <v>15</v>
      </c>
      <c r="U35" s="94">
        <f t="shared" si="0"/>
        <v>2.2189349112426036</v>
      </c>
      <c r="V35" s="506">
        <v>0</v>
      </c>
      <c r="W35" s="506">
        <v>0</v>
      </c>
      <c r="X35" s="506">
        <v>0</v>
      </c>
      <c r="Y35" s="506">
        <v>1</v>
      </c>
      <c r="Z35" s="506">
        <v>0</v>
      </c>
      <c r="AA35" s="507">
        <f t="shared" si="15"/>
        <v>1</v>
      </c>
      <c r="AB35" s="106">
        <f t="shared" si="1"/>
        <v>0.14792899408284024</v>
      </c>
      <c r="AC35" s="508">
        <v>2</v>
      </c>
      <c r="AD35" s="508">
        <f>AJ33</f>
        <v>0</v>
      </c>
      <c r="AE35" s="508">
        <v>13</v>
      </c>
    </row>
    <row r="36" spans="1:33" ht="15" thickBot="1" x14ac:dyDescent="0.25">
      <c r="A36" s="503" t="s">
        <v>26</v>
      </c>
      <c r="B36" s="504">
        <v>90377</v>
      </c>
      <c r="C36" s="504">
        <v>61293</v>
      </c>
      <c r="D36" s="504">
        <v>113295</v>
      </c>
      <c r="E36" s="504">
        <v>118650</v>
      </c>
      <c r="F36" s="504">
        <v>71713</v>
      </c>
      <c r="G36" s="505">
        <f t="shared" si="16"/>
        <v>455328</v>
      </c>
      <c r="H36" s="506">
        <v>141</v>
      </c>
      <c r="I36" s="506">
        <v>72</v>
      </c>
      <c r="J36" s="506">
        <v>199</v>
      </c>
      <c r="K36" s="506">
        <v>151</v>
      </c>
      <c r="L36" s="507">
        <v>82</v>
      </c>
      <c r="M36" s="507">
        <f t="shared" si="14"/>
        <v>645</v>
      </c>
      <c r="N36" s="94">
        <f t="shared" si="3"/>
        <v>0.14165612481551759</v>
      </c>
      <c r="O36" s="506">
        <v>176</v>
      </c>
      <c r="P36" s="506">
        <v>91</v>
      </c>
      <c r="Q36" s="506">
        <v>272</v>
      </c>
      <c r="R36" s="506">
        <v>188</v>
      </c>
      <c r="S36" s="506">
        <v>91</v>
      </c>
      <c r="T36" s="507">
        <f t="shared" si="17"/>
        <v>818</v>
      </c>
      <c r="U36" s="94">
        <f t="shared" si="0"/>
        <v>0.17965071333192775</v>
      </c>
      <c r="V36" s="506">
        <v>199</v>
      </c>
      <c r="W36" s="506">
        <v>33</v>
      </c>
      <c r="X36" s="506">
        <v>117</v>
      </c>
      <c r="Y36" s="506">
        <v>44</v>
      </c>
      <c r="Z36" s="506">
        <v>54</v>
      </c>
      <c r="AA36" s="507">
        <f t="shared" si="15"/>
        <v>447</v>
      </c>
      <c r="AB36" s="106">
        <f t="shared" si="1"/>
        <v>9.8170988825637781E-2</v>
      </c>
      <c r="AC36" s="508">
        <v>167</v>
      </c>
      <c r="AD36" s="508">
        <v>52</v>
      </c>
      <c r="AE36" s="507">
        <v>2590</v>
      </c>
    </row>
    <row r="37" spans="1:33" ht="15" thickBot="1" x14ac:dyDescent="0.25">
      <c r="A37" s="520" t="s">
        <v>21</v>
      </c>
      <c r="B37" s="521">
        <f t="shared" ref="B37:M37" si="18">SUM(B28:B36)</f>
        <v>119004</v>
      </c>
      <c r="C37" s="521">
        <v>79966</v>
      </c>
      <c r="D37" s="521">
        <f t="shared" si="18"/>
        <v>144302</v>
      </c>
      <c r="E37" s="521">
        <f>SUM(E28:E36)</f>
        <v>150318</v>
      </c>
      <c r="F37" s="521">
        <f t="shared" si="18"/>
        <v>96519</v>
      </c>
      <c r="G37" s="603">
        <f t="shared" si="18"/>
        <v>590109</v>
      </c>
      <c r="H37" s="522">
        <f t="shared" si="18"/>
        <v>196</v>
      </c>
      <c r="I37" s="522">
        <f t="shared" si="18"/>
        <v>102</v>
      </c>
      <c r="J37" s="522">
        <f t="shared" si="18"/>
        <v>296</v>
      </c>
      <c r="K37" s="522">
        <f>SUM(K28:K36)</f>
        <v>199</v>
      </c>
      <c r="L37" s="522">
        <f t="shared" si="18"/>
        <v>114</v>
      </c>
      <c r="M37" s="329">
        <f t="shared" si="18"/>
        <v>907</v>
      </c>
      <c r="N37" s="604">
        <f t="shared" si="3"/>
        <v>0.15370041805835871</v>
      </c>
      <c r="O37" s="522">
        <f t="shared" ref="O37:T37" si="19">SUM(O28:O36)</f>
        <v>235</v>
      </c>
      <c r="P37" s="522">
        <f t="shared" si="19"/>
        <v>122</v>
      </c>
      <c r="Q37" s="522">
        <f t="shared" si="19"/>
        <v>378</v>
      </c>
      <c r="R37" s="522">
        <f>SUM(R28:R36)</f>
        <v>228</v>
      </c>
      <c r="S37" s="522">
        <f t="shared" si="19"/>
        <v>128</v>
      </c>
      <c r="T37" s="329">
        <f t="shared" si="19"/>
        <v>1091</v>
      </c>
      <c r="U37" s="606">
        <f t="shared" si="0"/>
        <v>0.18488109823778318</v>
      </c>
      <c r="V37" s="522">
        <f>SUM(V28:V36)</f>
        <v>239</v>
      </c>
      <c r="W37" s="522">
        <f t="shared" ref="W37:AA37" si="20">SUM(W28:W36)</f>
        <v>42</v>
      </c>
      <c r="X37" s="522">
        <f t="shared" si="20"/>
        <v>164</v>
      </c>
      <c r="Y37" s="522">
        <f>SUM(Y28:Y36)</f>
        <v>54</v>
      </c>
      <c r="Z37" s="522">
        <f t="shared" si="20"/>
        <v>62</v>
      </c>
      <c r="AA37" s="329">
        <f t="shared" si="20"/>
        <v>561</v>
      </c>
      <c r="AB37" s="606">
        <f t="shared" si="1"/>
        <v>9.5067182503571379E-2</v>
      </c>
      <c r="AC37" s="132">
        <f>SUM(AC28:AC36)</f>
        <v>256</v>
      </c>
      <c r="AD37" s="132">
        <f>SUM(AD28:AD36)</f>
        <v>70</v>
      </c>
      <c r="AE37" s="324">
        <f>SUM(AE28:AE36)</f>
        <v>3212</v>
      </c>
      <c r="AF37" s="644"/>
      <c r="AG37" s="644"/>
    </row>
    <row r="38" spans="1:33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  <c r="AF38" s="153"/>
    </row>
    <row r="39" spans="1:33" ht="15.75" thickBot="1" x14ac:dyDescent="0.3">
      <c r="A39" s="6" t="s">
        <v>28</v>
      </c>
      <c r="B39" s="32"/>
      <c r="C39" s="32"/>
      <c r="D39" s="32"/>
      <c r="E39" s="32"/>
      <c r="F39" s="32"/>
      <c r="G39" s="123"/>
      <c r="H39" s="74"/>
      <c r="I39" s="74"/>
      <c r="J39" s="74"/>
      <c r="K39" s="74"/>
      <c r="L39" s="53"/>
      <c r="M39" s="98"/>
      <c r="N39" s="525"/>
      <c r="O39" s="74"/>
      <c r="P39" s="74"/>
      <c r="Q39" s="74"/>
      <c r="R39" s="74"/>
      <c r="S39" s="74"/>
      <c r="T39" s="88"/>
      <c r="U39" s="151"/>
      <c r="AA39" s="99"/>
      <c r="AC39" s="99"/>
      <c r="AD39" s="99"/>
      <c r="AE39" s="99"/>
    </row>
    <row r="40" spans="1:33" ht="15.75" thickBot="1" x14ac:dyDescent="0.3">
      <c r="A40" s="503" t="s">
        <v>41</v>
      </c>
      <c r="B40" s="504">
        <v>286</v>
      </c>
      <c r="C40" s="504">
        <v>151</v>
      </c>
      <c r="D40" s="504">
        <v>306</v>
      </c>
      <c r="E40" s="504">
        <v>274</v>
      </c>
      <c r="F40" s="504">
        <v>205</v>
      </c>
      <c r="G40" s="505">
        <f>SUM(B40:F40)</f>
        <v>1222</v>
      </c>
      <c r="H40" s="506">
        <v>3</v>
      </c>
      <c r="I40" s="506">
        <v>0</v>
      </c>
      <c r="J40" s="506">
        <v>2</v>
      </c>
      <c r="K40" s="506">
        <v>1</v>
      </c>
      <c r="L40" s="526">
        <v>0</v>
      </c>
      <c r="M40" s="507">
        <f>SUM(H40:L40)</f>
        <v>6</v>
      </c>
      <c r="N40" s="515">
        <f t="shared" si="3"/>
        <v>0.49099836333878888</v>
      </c>
      <c r="O40" s="506">
        <v>3</v>
      </c>
      <c r="P40" s="506">
        <v>0</v>
      </c>
      <c r="Q40" s="506">
        <v>0</v>
      </c>
      <c r="R40" s="506">
        <v>1</v>
      </c>
      <c r="S40" s="506">
        <v>0</v>
      </c>
      <c r="T40" s="507">
        <f>SUM(O40:S40)</f>
        <v>4</v>
      </c>
      <c r="U40" s="94">
        <f t="shared" si="0"/>
        <v>0.32733224222585927</v>
      </c>
      <c r="V40" s="527">
        <v>3</v>
      </c>
      <c r="W40" s="527">
        <v>0</v>
      </c>
      <c r="X40" s="527">
        <v>0</v>
      </c>
      <c r="Y40" s="527">
        <v>0</v>
      </c>
      <c r="Z40" s="527">
        <v>0</v>
      </c>
      <c r="AA40" s="508">
        <f>SUM(V40:Z40)</f>
        <v>3</v>
      </c>
      <c r="AB40" s="106">
        <f t="shared" si="1"/>
        <v>0.24549918166939444</v>
      </c>
      <c r="AC40" s="508">
        <v>1</v>
      </c>
      <c r="AD40" s="508">
        <f>0+1+0+0+0</f>
        <v>1</v>
      </c>
      <c r="AE40" s="508">
        <v>5</v>
      </c>
    </row>
    <row r="41" spans="1:33" ht="15.75" thickBot="1" x14ac:dyDescent="0.3">
      <c r="A41" s="503" t="s">
        <v>27</v>
      </c>
      <c r="B41" s="504">
        <v>109259</v>
      </c>
      <c r="C41" s="504">
        <v>51175</v>
      </c>
      <c r="D41" s="528">
        <v>53557</v>
      </c>
      <c r="E41" s="504">
        <v>78899</v>
      </c>
      <c r="F41" s="504">
        <v>77285</v>
      </c>
      <c r="G41" s="505">
        <f>SUM(B41:F41)</f>
        <v>370175</v>
      </c>
      <c r="H41" s="506">
        <v>38</v>
      </c>
      <c r="I41" s="506">
        <v>20</v>
      </c>
      <c r="J41" s="506">
        <v>54</v>
      </c>
      <c r="K41" s="506">
        <v>43</v>
      </c>
      <c r="L41" s="507">
        <v>15</v>
      </c>
      <c r="M41" s="507">
        <f>SUM(H41:L41)</f>
        <v>170</v>
      </c>
      <c r="N41" s="515">
        <f t="shared" si="3"/>
        <v>4.5924225028702644E-2</v>
      </c>
      <c r="O41" s="506">
        <v>12</v>
      </c>
      <c r="P41" s="506">
        <v>16</v>
      </c>
      <c r="Q41" s="506">
        <v>35</v>
      </c>
      <c r="R41" s="506">
        <v>18</v>
      </c>
      <c r="S41" s="506">
        <v>12</v>
      </c>
      <c r="T41" s="507">
        <f>SUM(O41:S41)</f>
        <v>93</v>
      </c>
      <c r="U41" s="94">
        <f t="shared" si="0"/>
        <v>2.5123252515702032E-2</v>
      </c>
      <c r="V41" s="529">
        <v>20</v>
      </c>
      <c r="W41" s="529">
        <v>4</v>
      </c>
      <c r="X41" s="527">
        <v>25</v>
      </c>
      <c r="Y41" s="527">
        <v>7</v>
      </c>
      <c r="Z41" s="527">
        <v>2</v>
      </c>
      <c r="AA41" s="507">
        <f>SUM(V41:Z41)</f>
        <v>58</v>
      </c>
      <c r="AB41" s="106">
        <f t="shared" si="1"/>
        <v>1.5668265009792667E-2</v>
      </c>
      <c r="AC41" s="508">
        <f>2+1+2+6+4</f>
        <v>15</v>
      </c>
      <c r="AD41" s="508">
        <f>2+1+1+2+2</f>
        <v>8</v>
      </c>
      <c r="AE41" s="538">
        <v>319</v>
      </c>
    </row>
    <row r="42" spans="1:33" ht="15.75" thickBot="1" x14ac:dyDescent="0.3">
      <c r="A42" s="520" t="s">
        <v>21</v>
      </c>
      <c r="B42" s="530">
        <f>SUM(B40:B41)</f>
        <v>109545</v>
      </c>
      <c r="C42" s="530">
        <f>SUM(C40:C41)</f>
        <v>51326</v>
      </c>
      <c r="D42" s="530">
        <f>SUM(D40:D41)</f>
        <v>53863</v>
      </c>
      <c r="E42" s="530">
        <f>SUM(E40:E41)</f>
        <v>79173</v>
      </c>
      <c r="F42" s="530">
        <f>SUM(F40:F41)</f>
        <v>77490</v>
      </c>
      <c r="G42" s="514">
        <f t="shared" ref="G42:M42" si="21">SUM(G40:G41)</f>
        <v>371397</v>
      </c>
      <c r="H42" s="338">
        <f>SUM(H40:H41)</f>
        <v>41</v>
      </c>
      <c r="I42" s="338">
        <f>SUM(I40:I41)</f>
        <v>20</v>
      </c>
      <c r="J42" s="338">
        <f>SUM(J40:J41)</f>
        <v>56</v>
      </c>
      <c r="K42" s="338">
        <f>SUM(K40:K41)</f>
        <v>44</v>
      </c>
      <c r="L42" s="338">
        <f>SUM(L40:L41)</f>
        <v>15</v>
      </c>
      <c r="M42" s="326">
        <f t="shared" si="21"/>
        <v>176</v>
      </c>
      <c r="N42" s="515">
        <f t="shared" si="3"/>
        <v>4.7388643419306029E-2</v>
      </c>
      <c r="O42" s="522">
        <v>15</v>
      </c>
      <c r="P42" s="522">
        <f t="shared" ref="P42:T42" si="22">SUM(P40:P41)</f>
        <v>16</v>
      </c>
      <c r="Q42" s="522">
        <f t="shared" si="22"/>
        <v>35</v>
      </c>
      <c r="R42" s="522">
        <f t="shared" si="22"/>
        <v>19</v>
      </c>
      <c r="S42" s="522">
        <v>12</v>
      </c>
      <c r="T42" s="329">
        <f t="shared" si="22"/>
        <v>97</v>
      </c>
      <c r="U42" s="94">
        <f t="shared" si="0"/>
        <v>2.6117604611776618E-2</v>
      </c>
      <c r="V42" s="101">
        <f>SUM(V40:V41)</f>
        <v>23</v>
      </c>
      <c r="W42" s="101">
        <f t="shared" ref="W42:Z42" si="23">SUM(W40:W41)</f>
        <v>4</v>
      </c>
      <c r="X42" s="101">
        <f t="shared" si="23"/>
        <v>25</v>
      </c>
      <c r="Y42" s="101">
        <f>SUM(Y40:Y41)</f>
        <v>7</v>
      </c>
      <c r="Z42" s="101">
        <f t="shared" si="23"/>
        <v>2</v>
      </c>
      <c r="AA42" s="327">
        <f>SUM(AA40:AA41)</f>
        <v>61</v>
      </c>
      <c r="AB42" s="106">
        <f t="shared" si="1"/>
        <v>1.6424473003282203E-2</v>
      </c>
      <c r="AC42" s="115">
        <f>SUM(AC40:AC41)</f>
        <v>16</v>
      </c>
      <c r="AD42" s="132">
        <f>SUM(AD40:AD41)</f>
        <v>9</v>
      </c>
      <c r="AE42" s="132">
        <f>SUM(AE40:AE41)</f>
        <v>324</v>
      </c>
    </row>
    <row r="43" spans="1:33" ht="15.75" thickBot="1" x14ac:dyDescent="0.25">
      <c r="A43" s="531" t="s">
        <v>49</v>
      </c>
      <c r="B43" s="532">
        <f>B11+B25+B37+B42</f>
        <v>231583</v>
      </c>
      <c r="C43" s="533">
        <f>C11+C25+C37+C42</f>
        <v>132740</v>
      </c>
      <c r="D43" s="534">
        <f>D11+D25+D37+D42</f>
        <v>202424</v>
      </c>
      <c r="E43" s="535">
        <f>SUM(B43:D43)</f>
        <v>566747</v>
      </c>
      <c r="F43" s="535">
        <f t="shared" ref="F43:M43" si="24">F11+F25+F37+F42</f>
        <v>175713</v>
      </c>
      <c r="G43" s="139">
        <f t="shared" si="24"/>
        <v>976541</v>
      </c>
      <c r="H43" s="140">
        <f t="shared" si="24"/>
        <v>254</v>
      </c>
      <c r="I43" s="140">
        <f t="shared" si="24"/>
        <v>137</v>
      </c>
      <c r="J43" s="140">
        <f t="shared" si="24"/>
        <v>367</v>
      </c>
      <c r="K43" s="140">
        <f t="shared" si="24"/>
        <v>255</v>
      </c>
      <c r="L43" s="140">
        <f t="shared" si="24"/>
        <v>133</v>
      </c>
      <c r="M43" s="140">
        <f t="shared" si="24"/>
        <v>1146</v>
      </c>
      <c r="N43" s="604">
        <f t="shared" si="3"/>
        <v>0.11735298364328789</v>
      </c>
      <c r="O43" s="140">
        <f t="shared" ref="O43:T43" si="25">O11+O25+O37+O42</f>
        <v>265</v>
      </c>
      <c r="P43" s="140">
        <f t="shared" si="25"/>
        <v>155</v>
      </c>
      <c r="Q43" s="140">
        <f t="shared" si="25"/>
        <v>433</v>
      </c>
      <c r="R43" s="140">
        <f t="shared" si="25"/>
        <v>263</v>
      </c>
      <c r="S43" s="140">
        <f t="shared" si="25"/>
        <v>148</v>
      </c>
      <c r="T43" s="140">
        <f t="shared" si="25"/>
        <v>1264</v>
      </c>
      <c r="U43" s="606">
        <f t="shared" si="0"/>
        <v>0.12943644967287599</v>
      </c>
      <c r="V43" s="140">
        <f t="shared" ref="V43:AA43" si="26">V11+V25+V37+V42</f>
        <v>276</v>
      </c>
      <c r="W43" s="140">
        <f t="shared" si="26"/>
        <v>50</v>
      </c>
      <c r="X43" s="140">
        <f t="shared" si="26"/>
        <v>196</v>
      </c>
      <c r="Y43" s="140">
        <f t="shared" si="26"/>
        <v>65</v>
      </c>
      <c r="Z43" s="140">
        <f t="shared" si="26"/>
        <v>67</v>
      </c>
      <c r="AA43" s="140">
        <f t="shared" si="26"/>
        <v>654</v>
      </c>
      <c r="AB43" s="606">
        <f t="shared" si="1"/>
        <v>6.6971074435174763E-2</v>
      </c>
      <c r="AC43" s="140">
        <f>AC11+AC25+AC37+AC42</f>
        <v>295</v>
      </c>
      <c r="AD43" s="324">
        <f>AD11+AD25+AD37+AD42</f>
        <v>95</v>
      </c>
      <c r="AE43" s="140">
        <f>AE11+AE25+AE37+AE42</f>
        <v>3819</v>
      </c>
    </row>
  </sheetData>
  <mergeCells count="8">
    <mergeCell ref="A1:AE1"/>
    <mergeCell ref="A3:A4"/>
    <mergeCell ref="B3:G3"/>
    <mergeCell ref="H3:M3"/>
    <mergeCell ref="O3:T3"/>
    <mergeCell ref="U3:U4"/>
    <mergeCell ref="V3:Z3"/>
    <mergeCell ref="AB3:AB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M42"/>
  <sheetViews>
    <sheetView showWhiteSpace="0" topLeftCell="A11" zoomScaleNormal="100" workbookViewId="0">
      <selection activeCell="A13" sqref="A13:L27"/>
    </sheetView>
  </sheetViews>
  <sheetFormatPr baseColWidth="10" defaultColWidth="11.42578125" defaultRowHeight="12.75" outlineLevelRow="1" x14ac:dyDescent="0.2"/>
  <cols>
    <col min="1" max="1" width="25" customWidth="1"/>
    <col min="2" max="2" width="9.42578125" customWidth="1"/>
    <col min="3" max="13" width="6.5703125" customWidth="1"/>
  </cols>
  <sheetData>
    <row r="1" spans="1:13" ht="20.25" x14ac:dyDescent="0.3">
      <c r="A1" s="773" t="s">
        <v>79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</row>
    <row r="2" spans="1:13" ht="21" thickBot="1" x14ac:dyDescent="0.35">
      <c r="A2" s="774" t="s">
        <v>125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</row>
    <row r="3" spans="1:13" ht="45" customHeight="1" thickBot="1" x14ac:dyDescent="0.25">
      <c r="A3" s="599" t="s">
        <v>74</v>
      </c>
      <c r="B3" s="411" t="s">
        <v>75</v>
      </c>
      <c r="C3" s="775" t="s">
        <v>80</v>
      </c>
      <c r="D3" s="776"/>
      <c r="E3" s="776"/>
      <c r="F3" s="776"/>
      <c r="G3" s="776"/>
      <c r="H3" s="776"/>
      <c r="I3" s="776"/>
      <c r="J3" s="776"/>
      <c r="K3" s="776"/>
      <c r="L3" s="777"/>
    </row>
    <row r="4" spans="1:13" ht="36.6" customHeight="1" thickBot="1" x14ac:dyDescent="0.3">
      <c r="A4" s="225"/>
      <c r="B4" s="412" t="s">
        <v>76</v>
      </c>
      <c r="C4" s="280">
        <v>2013</v>
      </c>
      <c r="D4" s="280">
        <v>2014</v>
      </c>
      <c r="E4" s="280">
        <v>2015</v>
      </c>
      <c r="F4" s="280">
        <v>2016</v>
      </c>
      <c r="G4" s="380">
        <v>2017</v>
      </c>
      <c r="H4" s="383">
        <v>2018</v>
      </c>
      <c r="I4" s="477">
        <v>2019</v>
      </c>
      <c r="J4" s="564">
        <v>2020</v>
      </c>
      <c r="K4" s="566">
        <v>2021</v>
      </c>
      <c r="L4" s="566">
        <v>2022</v>
      </c>
    </row>
    <row r="5" spans="1:13" ht="15" outlineLevel="1" x14ac:dyDescent="0.25">
      <c r="A5" s="226" t="s">
        <v>62</v>
      </c>
      <c r="B5" s="625"/>
      <c r="C5" s="686"/>
      <c r="D5" s="687"/>
      <c r="E5" s="686"/>
      <c r="F5" s="686"/>
      <c r="G5" s="686"/>
      <c r="H5" s="688"/>
      <c r="I5" s="689"/>
      <c r="J5" s="690"/>
      <c r="K5" s="691"/>
      <c r="L5" s="691"/>
    </row>
    <row r="6" spans="1:13" ht="15" outlineLevel="1" x14ac:dyDescent="0.25">
      <c r="A6" s="296" t="s">
        <v>1</v>
      </c>
      <c r="B6" s="553">
        <f>SUM(C6:L6)/10</f>
        <v>0.36878483689642616</v>
      </c>
      <c r="C6" s="543">
        <v>0.25575447570332482</v>
      </c>
      <c r="D6" s="301">
        <v>0</v>
      </c>
      <c r="E6" s="351">
        <v>0.27624309392265195</v>
      </c>
      <c r="F6" s="301">
        <v>0</v>
      </c>
      <c r="G6" s="542">
        <v>0.23923444976076555</v>
      </c>
      <c r="H6" s="544">
        <v>1.4814814814814814</v>
      </c>
      <c r="I6" s="351">
        <v>0.86206896551724133</v>
      </c>
      <c r="J6" s="351">
        <f>BEaH20!N6</f>
        <v>0</v>
      </c>
      <c r="K6" s="567">
        <f>BEaH21!N6</f>
        <v>0</v>
      </c>
      <c r="L6" s="567">
        <f>BEaH22!N6</f>
        <v>0.57306590257879653</v>
      </c>
      <c r="M6" s="2"/>
    </row>
    <row r="7" spans="1:13" ht="15" outlineLevel="1" x14ac:dyDescent="0.25">
      <c r="A7" s="227" t="s">
        <v>2</v>
      </c>
      <c r="B7" s="626">
        <f t="shared" ref="B7:B11" si="0">SUM(C7:L7)/10</f>
        <v>0.33441850965323916</v>
      </c>
      <c r="C7" s="546">
        <v>0.22187004754358161</v>
      </c>
      <c r="D7" s="238">
        <v>0.28178936245156744</v>
      </c>
      <c r="E7" s="347">
        <v>0.21684134441633537</v>
      </c>
      <c r="F7" s="238">
        <v>0.28561228132809713</v>
      </c>
      <c r="G7" s="545">
        <v>0.18382352941176472</v>
      </c>
      <c r="H7" s="547">
        <v>0.43171114599686028</v>
      </c>
      <c r="I7" s="347">
        <v>0.54031587697423111</v>
      </c>
      <c r="J7" s="347">
        <f>BEaH20!N7</f>
        <v>0.2880658436213992</v>
      </c>
      <c r="K7" s="347">
        <f>BEaH21!N7</f>
        <v>0.68881685575364671</v>
      </c>
      <c r="L7" s="609">
        <f>BEaH22!N7</f>
        <v>0.20533880903490759</v>
      </c>
    </row>
    <row r="8" spans="1:13" ht="15" outlineLevel="1" x14ac:dyDescent="0.25">
      <c r="A8" s="227" t="s">
        <v>14</v>
      </c>
      <c r="B8" s="626">
        <f t="shared" si="0"/>
        <v>0.2216029620945584</v>
      </c>
      <c r="C8" s="238">
        <v>0.23148148148148148</v>
      </c>
      <c r="D8" s="238">
        <v>0</v>
      </c>
      <c r="E8" s="347">
        <v>0</v>
      </c>
      <c r="F8" s="238">
        <v>0</v>
      </c>
      <c r="G8" s="545">
        <v>0</v>
      </c>
      <c r="H8" s="547">
        <v>0.6211180124223602</v>
      </c>
      <c r="I8" s="347">
        <v>0</v>
      </c>
      <c r="J8" s="347">
        <f>BEaH20!N8</f>
        <v>0</v>
      </c>
      <c r="K8" s="347">
        <f>BEaH21!N8</f>
        <v>0.32894736842105265</v>
      </c>
      <c r="L8" s="609">
        <f>BEaH22!N8</f>
        <v>1.0344827586206897</v>
      </c>
    </row>
    <row r="9" spans="1:13" ht="15" outlineLevel="1" x14ac:dyDescent="0.25">
      <c r="A9" s="227" t="s">
        <v>3</v>
      </c>
      <c r="B9" s="626">
        <f t="shared" si="0"/>
        <v>0.21437362132127843</v>
      </c>
      <c r="C9" s="238">
        <v>0.35026269702276708</v>
      </c>
      <c r="D9" s="238">
        <v>0.20408163265306123</v>
      </c>
      <c r="E9" s="347">
        <v>0</v>
      </c>
      <c r="F9" s="238">
        <v>0</v>
      </c>
      <c r="G9" s="545">
        <v>0.18939393939393939</v>
      </c>
      <c r="H9" s="547">
        <v>0.78895463510848129</v>
      </c>
      <c r="I9" s="347">
        <v>0</v>
      </c>
      <c r="J9" s="347">
        <f>BEaH20!N9</f>
        <v>0.4098360655737705</v>
      </c>
      <c r="K9" s="347">
        <f>BEaH21!N9</f>
        <v>0.2012072434607646</v>
      </c>
      <c r="L9" s="609">
        <f>BEaH22!N9</f>
        <v>0</v>
      </c>
    </row>
    <row r="10" spans="1:13" ht="30.75" outlineLevel="1" thickBot="1" x14ac:dyDescent="0.3">
      <c r="A10" s="230" t="s">
        <v>77</v>
      </c>
      <c r="B10" s="627">
        <f t="shared" si="0"/>
        <v>0.21755085558624918</v>
      </c>
      <c r="C10" s="548">
        <v>5.770340450086555E-2</v>
      </c>
      <c r="D10" s="548">
        <v>0.2499218994064355</v>
      </c>
      <c r="E10" s="348">
        <v>0.21584952204748689</v>
      </c>
      <c r="F10" s="548">
        <v>0.21426385062748698</v>
      </c>
      <c r="G10" s="549">
        <v>9.0936647468929974E-2</v>
      </c>
      <c r="H10" s="550">
        <v>0.35273368606701938</v>
      </c>
      <c r="I10" s="348">
        <v>0.14798372179060304</v>
      </c>
      <c r="J10" s="348">
        <f>BEaH20!N10</f>
        <v>0.20869565217391303</v>
      </c>
      <c r="K10" s="347">
        <f>BEaH21!N10</f>
        <v>0.45029442327675789</v>
      </c>
      <c r="L10" s="623">
        <f>BEaH22!N10</f>
        <v>0.18712574850299402</v>
      </c>
    </row>
    <row r="11" spans="1:13" ht="15.75" outlineLevel="1" thickBot="1" x14ac:dyDescent="0.3">
      <c r="A11" s="610" t="s">
        <v>22</v>
      </c>
      <c r="B11" s="628">
        <f t="shared" si="0"/>
        <v>0.27155075309999083</v>
      </c>
      <c r="C11" s="611">
        <v>0.16219588271990018</v>
      </c>
      <c r="D11" s="241">
        <v>0.2344180915609487</v>
      </c>
      <c r="E11" s="349">
        <v>0.19207024283166416</v>
      </c>
      <c r="F11" s="241">
        <v>0.203334688897926</v>
      </c>
      <c r="G11" s="551">
        <v>0.1367801942278758</v>
      </c>
      <c r="H11" s="552">
        <v>0.49871542995315099</v>
      </c>
      <c r="I11" s="349">
        <v>0.32128514056224899</v>
      </c>
      <c r="J11" s="350">
        <f>BEaH20!N11</f>
        <v>0.23209036051369333</v>
      </c>
      <c r="K11" s="195">
        <f>BEaH21!N11</f>
        <v>0.49170251997541486</v>
      </c>
      <c r="L11" s="622">
        <f>BEaH22!N11</f>
        <v>0.24291497975708501</v>
      </c>
    </row>
    <row r="12" spans="1:13" ht="15.75" thickBot="1" x14ac:dyDescent="0.3">
      <c r="A12" s="257"/>
      <c r="B12" s="232"/>
      <c r="C12" s="232"/>
      <c r="D12" s="233"/>
      <c r="E12" s="232"/>
      <c r="F12" s="232"/>
      <c r="G12" s="232"/>
      <c r="H12" s="232"/>
      <c r="I12" s="232"/>
      <c r="J12" s="232"/>
      <c r="K12" s="232"/>
      <c r="L12" s="293"/>
      <c r="M12" s="275"/>
    </row>
    <row r="13" spans="1:13" ht="45" customHeight="1" outlineLevel="1" thickBot="1" x14ac:dyDescent="0.25">
      <c r="A13" s="396" t="s">
        <v>74</v>
      </c>
      <c r="B13" s="411" t="s">
        <v>75</v>
      </c>
      <c r="C13" s="778" t="s">
        <v>80</v>
      </c>
      <c r="D13" s="779"/>
      <c r="E13" s="779"/>
      <c r="F13" s="779"/>
      <c r="G13" s="779"/>
      <c r="H13" s="779"/>
      <c r="I13" s="779"/>
      <c r="J13" s="779"/>
      <c r="K13" s="779"/>
      <c r="L13" s="780"/>
      <c r="M13" s="2"/>
    </row>
    <row r="14" spans="1:13" ht="36.6" customHeight="1" outlineLevel="1" thickBot="1" x14ac:dyDescent="0.3">
      <c r="A14" s="225"/>
      <c r="B14" s="412" t="s">
        <v>76</v>
      </c>
      <c r="C14" s="280">
        <v>2013</v>
      </c>
      <c r="D14" s="280">
        <v>2014</v>
      </c>
      <c r="E14" s="280">
        <v>2015</v>
      </c>
      <c r="F14" s="280">
        <v>2016</v>
      </c>
      <c r="G14" s="380">
        <v>2017</v>
      </c>
      <c r="H14" s="383">
        <v>2018</v>
      </c>
      <c r="I14" s="477">
        <v>2019</v>
      </c>
      <c r="J14" s="568">
        <v>2020</v>
      </c>
      <c r="K14" s="564">
        <v>2021</v>
      </c>
      <c r="L14" s="568">
        <v>2022</v>
      </c>
    </row>
    <row r="15" spans="1:13" ht="14.45" customHeight="1" outlineLevel="1" x14ac:dyDescent="0.25">
      <c r="A15" s="282" t="s">
        <v>63</v>
      </c>
      <c r="B15" s="413"/>
      <c r="C15" s="682"/>
      <c r="D15" s="682"/>
      <c r="E15" s="682"/>
      <c r="F15" s="683"/>
      <c r="G15" s="656"/>
      <c r="H15" s="662"/>
      <c r="I15" s="649"/>
      <c r="J15" s="663"/>
      <c r="K15" s="684"/>
      <c r="L15" s="685"/>
    </row>
    <row r="16" spans="1:13" ht="14.45" customHeight="1" outlineLevel="1" x14ac:dyDescent="0.25">
      <c r="A16" s="717" t="s">
        <v>4</v>
      </c>
      <c r="B16" s="718">
        <f>SUM(C16:L16)/10</f>
        <v>0</v>
      </c>
      <c r="C16" s="719">
        <v>0</v>
      </c>
      <c r="D16" s="719">
        <v>0</v>
      </c>
      <c r="E16" s="709">
        <v>0</v>
      </c>
      <c r="F16" s="719">
        <v>0</v>
      </c>
      <c r="G16" s="720">
        <v>0</v>
      </c>
      <c r="H16" s="714">
        <v>0</v>
      </c>
      <c r="I16" s="709">
        <v>0</v>
      </c>
      <c r="J16" s="709">
        <f>BEaH20!N14</f>
        <v>0</v>
      </c>
      <c r="K16" s="709">
        <f>BEaH21!N14</f>
        <v>0</v>
      </c>
      <c r="L16" s="721">
        <f>BEaH22!N14</f>
        <v>0</v>
      </c>
    </row>
    <row r="17" spans="1:13" ht="14.45" customHeight="1" outlineLevel="1" x14ac:dyDescent="0.25">
      <c r="A17" s="227" t="s">
        <v>5</v>
      </c>
      <c r="B17" s="414">
        <f t="shared" ref="B17:B27" si="1">SUM(C17:L17)/10</f>
        <v>0.28247415272311177</v>
      </c>
      <c r="C17" s="229">
        <v>0.27510316368638238</v>
      </c>
      <c r="D17" s="229">
        <v>0</v>
      </c>
      <c r="E17" s="347">
        <v>0.23501762632197415</v>
      </c>
      <c r="F17" s="229">
        <v>0.22675736961451248</v>
      </c>
      <c r="G17" s="228">
        <v>0.45248868778280543</v>
      </c>
      <c r="H17" s="406">
        <v>0.49701789264413521</v>
      </c>
      <c r="I17" s="347">
        <v>9.7465886939571145E-2</v>
      </c>
      <c r="J17" s="347">
        <f>BEaH20!N15</f>
        <v>0.38387715930902111</v>
      </c>
      <c r="K17" s="347">
        <f>BEaH21!N15</f>
        <v>9.4161958568738227E-2</v>
      </c>
      <c r="L17" s="612">
        <f>BEaH22!N15</f>
        <v>0.56285178236397748</v>
      </c>
    </row>
    <row r="18" spans="1:13" ht="14.45" customHeight="1" outlineLevel="1" x14ac:dyDescent="0.25">
      <c r="A18" s="227" t="s">
        <v>6</v>
      </c>
      <c r="B18" s="414">
        <f t="shared" si="1"/>
        <v>0.17959365503635466</v>
      </c>
      <c r="C18" s="229">
        <v>0</v>
      </c>
      <c r="D18" s="229">
        <v>0</v>
      </c>
      <c r="E18" s="397">
        <v>0.4065040650406504</v>
      </c>
      <c r="F18" s="229">
        <v>0</v>
      </c>
      <c r="G18" s="228">
        <v>0</v>
      </c>
      <c r="H18" s="409">
        <v>0</v>
      </c>
      <c r="I18" s="347">
        <v>0.47619047619047616</v>
      </c>
      <c r="J18" s="347">
        <f>BEaH20!N16</f>
        <v>0</v>
      </c>
      <c r="K18" s="347">
        <f>BEaH21!N16</f>
        <v>0</v>
      </c>
      <c r="L18" s="612">
        <f>BEaH22!N16</f>
        <v>0.91324200913242004</v>
      </c>
    </row>
    <row r="19" spans="1:13" ht="14.45" customHeight="1" outlineLevel="1" x14ac:dyDescent="0.25">
      <c r="A19" s="227" t="s">
        <v>7</v>
      </c>
      <c r="B19" s="414">
        <f t="shared" si="1"/>
        <v>0.15058876811594205</v>
      </c>
      <c r="C19" s="229">
        <v>0</v>
      </c>
      <c r="D19" s="229">
        <v>0</v>
      </c>
      <c r="E19" s="347">
        <v>0.78125</v>
      </c>
      <c r="F19" s="229">
        <v>0.72463768115942029</v>
      </c>
      <c r="G19" s="228">
        <v>0</v>
      </c>
      <c r="H19" s="406">
        <v>0</v>
      </c>
      <c r="I19" s="347">
        <v>0</v>
      </c>
      <c r="J19" s="347">
        <f>BEaH20!N17</f>
        <v>0</v>
      </c>
      <c r="K19" s="347">
        <f>BEaH21!N17</f>
        <v>0</v>
      </c>
      <c r="L19" s="612">
        <f>BEaH22!N17</f>
        <v>0</v>
      </c>
    </row>
    <row r="20" spans="1:13" ht="14.45" customHeight="1" outlineLevel="1" x14ac:dyDescent="0.25">
      <c r="A20" s="616" t="s">
        <v>8</v>
      </c>
      <c r="B20" s="613">
        <f t="shared" si="1"/>
        <v>1.1666666666666667</v>
      </c>
      <c r="C20" s="298">
        <v>0</v>
      </c>
      <c r="D20" s="298">
        <v>0</v>
      </c>
      <c r="E20" s="614">
        <v>0</v>
      </c>
      <c r="F20" s="298">
        <v>3.3333333333333335</v>
      </c>
      <c r="G20" s="297">
        <v>0</v>
      </c>
      <c r="H20" s="405">
        <v>0</v>
      </c>
      <c r="I20" s="351">
        <v>8.3333333333333339</v>
      </c>
      <c r="J20" s="351">
        <f>BEaH20!N18</f>
        <v>0</v>
      </c>
      <c r="K20" s="351">
        <f>BEaH21!N18</f>
        <v>0</v>
      </c>
      <c r="L20" s="615">
        <f>BEaH22!N18</f>
        <v>0</v>
      </c>
    </row>
    <row r="21" spans="1:13" ht="14.45" customHeight="1" outlineLevel="1" x14ac:dyDescent="0.25">
      <c r="A21" s="227" t="s">
        <v>9</v>
      </c>
      <c r="B21" s="414">
        <f t="shared" si="1"/>
        <v>0.94184251158003074</v>
      </c>
      <c r="C21" s="229">
        <v>0</v>
      </c>
      <c r="D21" s="229">
        <v>4.4776119402985071</v>
      </c>
      <c r="E21" s="361">
        <v>1.4925373134328359</v>
      </c>
      <c r="F21" s="229">
        <v>0</v>
      </c>
      <c r="G21" s="228">
        <v>0</v>
      </c>
      <c r="H21" s="406">
        <v>0</v>
      </c>
      <c r="I21" s="347">
        <v>0</v>
      </c>
      <c r="J21" s="347">
        <f>BEaH20!N19</f>
        <v>0</v>
      </c>
      <c r="K21" s="347">
        <f>BEaH21!N19</f>
        <v>0</v>
      </c>
      <c r="L21" s="612">
        <f>BEaH22!N19</f>
        <v>3.4482758620689653</v>
      </c>
    </row>
    <row r="22" spans="1:13" ht="14.45" customHeight="1" outlineLevel="1" x14ac:dyDescent="0.25">
      <c r="A22" s="717" t="s">
        <v>10</v>
      </c>
      <c r="B22" s="718">
        <f t="shared" si="1"/>
        <v>0</v>
      </c>
      <c r="C22" s="719">
        <v>0</v>
      </c>
      <c r="D22" s="719">
        <v>0</v>
      </c>
      <c r="E22" s="707">
        <v>0</v>
      </c>
      <c r="F22" s="719">
        <v>0</v>
      </c>
      <c r="G22" s="720">
        <v>0</v>
      </c>
      <c r="H22" s="714">
        <v>0</v>
      </c>
      <c r="I22" s="709">
        <v>0</v>
      </c>
      <c r="J22" s="709">
        <f>BEaH20!N20</f>
        <v>0</v>
      </c>
      <c r="K22" s="709">
        <f>BEaH21!N20</f>
        <v>0</v>
      </c>
      <c r="L22" s="721">
        <f>BEaH22!N20</f>
        <v>0</v>
      </c>
    </row>
    <row r="23" spans="1:13" ht="14.45" customHeight="1" outlineLevel="1" x14ac:dyDescent="0.25">
      <c r="A23" s="227" t="s">
        <v>11</v>
      </c>
      <c r="B23" s="414">
        <f t="shared" si="1"/>
        <v>0.5051669484694552</v>
      </c>
      <c r="C23" s="229">
        <v>0.36630036630036628</v>
      </c>
      <c r="D23" s="229">
        <v>1.1111111111111112</v>
      </c>
      <c r="E23" s="347">
        <v>0.30959752321981426</v>
      </c>
      <c r="F23" s="229">
        <v>0</v>
      </c>
      <c r="G23" s="228">
        <v>1.075268817204301</v>
      </c>
      <c r="H23" s="406">
        <v>0.95238095238095233</v>
      </c>
      <c r="I23" s="347">
        <v>0</v>
      </c>
      <c r="J23" s="347">
        <f>BEaH20!N21</f>
        <v>0</v>
      </c>
      <c r="K23" s="347">
        <f>BEaH21!N21</f>
        <v>0.22075055187637968</v>
      </c>
      <c r="L23" s="612">
        <f>BEaH22!N21</f>
        <v>1.0162601626016261</v>
      </c>
    </row>
    <row r="24" spans="1:13" ht="14.45" customHeight="1" outlineLevel="1" x14ac:dyDescent="0.25">
      <c r="A24" s="234" t="s">
        <v>12</v>
      </c>
      <c r="B24" s="414">
        <f t="shared" si="1"/>
        <v>0.38172550050365373</v>
      </c>
      <c r="C24" s="235">
        <v>0.27598896044158233</v>
      </c>
      <c r="D24" s="229">
        <v>0.32362459546925565</v>
      </c>
      <c r="E24" s="347">
        <v>0.356839422259983</v>
      </c>
      <c r="F24" s="229">
        <v>0.46599930963065239</v>
      </c>
      <c r="G24" s="228">
        <v>0.14262791941522554</v>
      </c>
      <c r="H24" s="406">
        <v>0.26990553306342779</v>
      </c>
      <c r="I24" s="347">
        <v>0.35676810073452259</v>
      </c>
      <c r="J24" s="347">
        <f>BEaH20!N22</f>
        <v>0.48790835808230804</v>
      </c>
      <c r="K24" s="347">
        <f>BEaH21!N22</f>
        <v>0.60763888888888884</v>
      </c>
      <c r="L24" s="612">
        <f>BEaH22!N22</f>
        <v>0.52995391705069128</v>
      </c>
    </row>
    <row r="25" spans="1:13" ht="14.45" customHeight="1" outlineLevel="1" x14ac:dyDescent="0.25">
      <c r="A25" s="234" t="s">
        <v>13</v>
      </c>
      <c r="B25" s="414">
        <f t="shared" si="1"/>
        <v>0.81168831168831179</v>
      </c>
      <c r="C25" s="235">
        <v>0</v>
      </c>
      <c r="D25" s="229">
        <v>0</v>
      </c>
      <c r="E25" s="397">
        <v>0</v>
      </c>
      <c r="F25" s="229">
        <v>0</v>
      </c>
      <c r="G25" s="228">
        <v>3.5714285714285716</v>
      </c>
      <c r="H25" s="406">
        <v>4.5454545454545459</v>
      </c>
      <c r="I25" s="347">
        <v>0</v>
      </c>
      <c r="J25" s="347">
        <f>BEaH20!N23</f>
        <v>0</v>
      </c>
      <c r="K25" s="347">
        <f>BEaH21!N23</f>
        <v>0</v>
      </c>
      <c r="L25" s="612">
        <f>BEaH22!N23</f>
        <v>0</v>
      </c>
    </row>
    <row r="26" spans="1:13" ht="29.45" customHeight="1" thickBot="1" x14ac:dyDescent="0.3">
      <c r="A26" s="230" t="s">
        <v>78</v>
      </c>
      <c r="B26" s="619">
        <f t="shared" si="1"/>
        <v>0.24648497668939232</v>
      </c>
      <c r="C26" s="235">
        <v>5.181347150259067E-2</v>
      </c>
      <c r="D26" s="229">
        <v>0.22308979364194087</v>
      </c>
      <c r="E26" s="348">
        <v>0.1589825119236884</v>
      </c>
      <c r="F26" s="231">
        <v>0.36382536382536385</v>
      </c>
      <c r="G26" s="381">
        <v>8.4104289318755257E-2</v>
      </c>
      <c r="H26" s="407">
        <v>0.18273184102329831</v>
      </c>
      <c r="I26" s="348">
        <v>0.40467625899280574</v>
      </c>
      <c r="J26" s="348">
        <f>BEaH20!N24</f>
        <v>0.1279317697228145</v>
      </c>
      <c r="K26" s="348">
        <f>BEaH21!N24</f>
        <v>0.42462845010615713</v>
      </c>
      <c r="L26" s="395">
        <f>BEaH22!N24</f>
        <v>0.44306601683650865</v>
      </c>
    </row>
    <row r="27" spans="1:13" ht="15.75" outlineLevel="1" thickBot="1" x14ac:dyDescent="0.3">
      <c r="A27" s="236" t="s">
        <v>22</v>
      </c>
      <c r="B27" s="415">
        <f t="shared" si="1"/>
        <v>0.33678513156802758</v>
      </c>
      <c r="C27" s="281">
        <v>0.21685559388861508</v>
      </c>
      <c r="D27" s="281">
        <v>0.3088720843540313</v>
      </c>
      <c r="E27" s="349">
        <v>0.3127932436659368</v>
      </c>
      <c r="F27" s="281">
        <v>0.3947231744053184</v>
      </c>
      <c r="G27" s="382">
        <v>0.19244403929909856</v>
      </c>
      <c r="H27" s="408">
        <v>0.29686174724342662</v>
      </c>
      <c r="I27" s="349">
        <v>0.33314825097168238</v>
      </c>
      <c r="J27" s="349">
        <f>BEaH20!N25</f>
        <v>0.32981530343007914</v>
      </c>
      <c r="K27" s="195">
        <f>BEaH21!N25</f>
        <v>0.44057715607445752</v>
      </c>
      <c r="L27" s="618">
        <f>BEaH22!N25</f>
        <v>0.54176072234762984</v>
      </c>
    </row>
    <row r="28" spans="1:13" ht="15.75" outlineLevel="1" thickBot="1" x14ac:dyDescent="0.3">
      <c r="A28" s="258"/>
      <c r="B28" s="232"/>
      <c r="C28" s="232"/>
      <c r="D28" s="233"/>
      <c r="E28" s="232"/>
      <c r="F28" s="232"/>
      <c r="G28" s="232"/>
      <c r="H28" s="232"/>
      <c r="I28" s="232"/>
      <c r="J28" s="232"/>
      <c r="K28" s="232"/>
      <c r="L28" s="293"/>
      <c r="M28" s="275"/>
    </row>
    <row r="29" spans="1:13" ht="44.25" customHeight="1" outlineLevel="1" thickBot="1" x14ac:dyDescent="0.25">
      <c r="A29" s="274" t="s">
        <v>74</v>
      </c>
      <c r="B29" s="411" t="s">
        <v>75</v>
      </c>
      <c r="C29" s="778" t="s">
        <v>80</v>
      </c>
      <c r="D29" s="779"/>
      <c r="E29" s="779"/>
      <c r="F29" s="779"/>
      <c r="G29" s="779"/>
      <c r="H29" s="779"/>
      <c r="I29" s="779"/>
      <c r="J29" s="779"/>
      <c r="K29" s="779"/>
      <c r="L29" s="780"/>
      <c r="M29" s="385"/>
    </row>
    <row r="30" spans="1:13" ht="33.75" customHeight="1" outlineLevel="1" thickBot="1" x14ac:dyDescent="0.3">
      <c r="A30" s="225"/>
      <c r="B30" s="412" t="s">
        <v>76</v>
      </c>
      <c r="C30" s="280">
        <v>2013</v>
      </c>
      <c r="D30" s="280">
        <v>2014</v>
      </c>
      <c r="E30" s="280">
        <v>2015</v>
      </c>
      <c r="F30" s="280">
        <v>2016</v>
      </c>
      <c r="G30" s="380">
        <v>2017</v>
      </c>
      <c r="H30" s="383">
        <v>2018</v>
      </c>
      <c r="I30" s="477">
        <v>2019</v>
      </c>
      <c r="J30" s="568">
        <v>2020</v>
      </c>
      <c r="K30" s="568">
        <v>2021</v>
      </c>
      <c r="L30" s="568">
        <v>2022</v>
      </c>
    </row>
    <row r="31" spans="1:13" ht="15" outlineLevel="1" x14ac:dyDescent="0.25">
      <c r="A31" s="283" t="s">
        <v>64</v>
      </c>
      <c r="B31" s="413"/>
      <c r="C31" s="682"/>
      <c r="D31" s="682"/>
      <c r="E31" s="682"/>
      <c r="F31" s="682"/>
      <c r="G31" s="692"/>
      <c r="H31" s="693"/>
      <c r="I31" s="649"/>
      <c r="J31" s="650"/>
      <c r="K31" s="684"/>
      <c r="L31" s="661"/>
    </row>
    <row r="32" spans="1:13" ht="15" outlineLevel="1" x14ac:dyDescent="0.25">
      <c r="A32" s="237" t="s">
        <v>15</v>
      </c>
      <c r="B32" s="629">
        <f>SUM(C32:L32)/10</f>
        <v>5.9634945483238541E-2</v>
      </c>
      <c r="C32" s="238">
        <v>8.3338675556125397E-2</v>
      </c>
      <c r="D32" s="229">
        <v>6.0410793395086586E-2</v>
      </c>
      <c r="E32" s="347">
        <v>5.2635041779064411E-2</v>
      </c>
      <c r="F32" s="229">
        <v>5.905511811023622E-2</v>
      </c>
      <c r="G32" s="228">
        <v>6.7055589083350103E-2</v>
      </c>
      <c r="H32" s="406">
        <v>6.7819599864360799E-2</v>
      </c>
      <c r="I32" s="347">
        <v>2.8394974089586144E-2</v>
      </c>
      <c r="J32" s="347">
        <f>BEaH20!N28</f>
        <v>5.6314233422497535E-2</v>
      </c>
      <c r="K32" s="347">
        <f>BEaH21!N28</f>
        <v>7.7590463426677012E-2</v>
      </c>
      <c r="L32" s="612">
        <f>BEaH22!N28</f>
        <v>4.3734966105401271E-2</v>
      </c>
    </row>
    <row r="33" spans="1:12" ht="15" outlineLevel="1" x14ac:dyDescent="0.25">
      <c r="A33" s="722" t="s">
        <v>16</v>
      </c>
      <c r="B33" s="417">
        <f t="shared" ref="B33:B41" si="2">SUM(C33:L33)/10</f>
        <v>0.33382465818770174</v>
      </c>
      <c r="C33" s="301">
        <v>0.50738695717057158</v>
      </c>
      <c r="D33" s="298">
        <v>0.32056419297964417</v>
      </c>
      <c r="E33" s="351">
        <v>0.29869517371482474</v>
      </c>
      <c r="F33" s="298">
        <v>0.23166023166023167</v>
      </c>
      <c r="G33" s="297">
        <v>0.28284098051539913</v>
      </c>
      <c r="H33" s="405">
        <v>0.2862595419847328</v>
      </c>
      <c r="I33" s="351">
        <v>0.22363667641493204</v>
      </c>
      <c r="J33" s="351">
        <f>BEaH20!N29</f>
        <v>0.22101326079564773</v>
      </c>
      <c r="K33" s="351">
        <f>BEaH21!N29</f>
        <v>0.41673901719048445</v>
      </c>
      <c r="L33" s="615">
        <f>BEaH22!N29</f>
        <v>0.5494505494505495</v>
      </c>
    </row>
    <row r="34" spans="1:12" ht="15" outlineLevel="1" x14ac:dyDescent="0.25">
      <c r="A34" s="237" t="s">
        <v>35</v>
      </c>
      <c r="B34" s="629">
        <f t="shared" si="2"/>
        <v>0.15396399683099948</v>
      </c>
      <c r="C34" s="238">
        <v>0.18840276324052752</v>
      </c>
      <c r="D34" s="229">
        <v>6.3104753891459822E-2</v>
      </c>
      <c r="E34" s="347">
        <v>0.12679628064243448</v>
      </c>
      <c r="F34" s="229">
        <v>4.0477636106051408E-2</v>
      </c>
      <c r="G34" s="228">
        <v>0.18939393939393939</v>
      </c>
      <c r="H34" s="406">
        <v>0.10734220695577501</v>
      </c>
      <c r="I34" s="347">
        <v>0.11431184270690443</v>
      </c>
      <c r="J34" s="347">
        <f>BEaH20!N30</f>
        <v>0.31538634827663886</v>
      </c>
      <c r="K34" s="347">
        <f>BEaH21!N30</f>
        <v>0.11418131993605846</v>
      </c>
      <c r="L34" s="612">
        <f>BEaH22!N30</f>
        <v>0.28024287716020552</v>
      </c>
    </row>
    <row r="35" spans="1:12" ht="15" outlineLevel="1" x14ac:dyDescent="0.25">
      <c r="A35" s="237" t="s">
        <v>17</v>
      </c>
      <c r="B35" s="629">
        <f t="shared" si="2"/>
        <v>4.2470487220749045E-2</v>
      </c>
      <c r="C35" s="238">
        <v>5.305978068623983E-2</v>
      </c>
      <c r="D35" s="229">
        <v>3.62132963152971E-2</v>
      </c>
      <c r="E35" s="347">
        <v>4.1487627796710627E-2</v>
      </c>
      <c r="F35" s="229">
        <v>4.9995588624533127E-2</v>
      </c>
      <c r="G35" s="228">
        <v>4.928991713132682E-2</v>
      </c>
      <c r="H35" s="406">
        <v>4.3000184286504088E-2</v>
      </c>
      <c r="I35" s="347">
        <v>4.5210876445133372E-2</v>
      </c>
      <c r="J35" s="347">
        <f>BEaH20!N31</f>
        <v>2.2427990131684342E-2</v>
      </c>
      <c r="K35" s="347">
        <f>BEaH21!N31</f>
        <v>4.431080867225827E-2</v>
      </c>
      <c r="L35" s="612">
        <f>BEaH22!N31</f>
        <v>3.9708802117802783E-2</v>
      </c>
    </row>
    <row r="36" spans="1:12" ht="15" outlineLevel="1" x14ac:dyDescent="0.25">
      <c r="A36" s="237" t="s">
        <v>18</v>
      </c>
      <c r="B36" s="629">
        <f t="shared" si="2"/>
        <v>9.6469041626526961E-2</v>
      </c>
      <c r="C36" s="238">
        <v>7.8362229405426587E-2</v>
      </c>
      <c r="D36" s="229">
        <v>9.6184674575184356E-2</v>
      </c>
      <c r="E36" s="347">
        <v>0.16271501627150162</v>
      </c>
      <c r="F36" s="229">
        <v>0.1287139332832779</v>
      </c>
      <c r="G36" s="228">
        <v>5.436555398499511E-2</v>
      </c>
      <c r="H36" s="406">
        <v>9.0029259509340542E-2</v>
      </c>
      <c r="I36" s="347">
        <v>5.1719679337988107E-2</v>
      </c>
      <c r="J36" s="347">
        <f>BEaH20!N32</f>
        <v>7.6608784473953015E-2</v>
      </c>
      <c r="K36" s="347">
        <f>BEaH21!N32</f>
        <v>0.10725777618877369</v>
      </c>
      <c r="L36" s="612">
        <f>BEaH22!N32</f>
        <v>0.11873350923482849</v>
      </c>
    </row>
    <row r="37" spans="1:12" ht="15" outlineLevel="1" x14ac:dyDescent="0.25">
      <c r="A37" s="722" t="s">
        <v>19</v>
      </c>
      <c r="B37" s="417">
        <f t="shared" si="2"/>
        <v>0.25919665037557943</v>
      </c>
      <c r="C37" s="301">
        <v>0.26230354109780479</v>
      </c>
      <c r="D37" s="298">
        <v>0.22439457898244836</v>
      </c>
      <c r="E37" s="351">
        <v>0.25899016754142695</v>
      </c>
      <c r="F37" s="298">
        <v>0.20950515792589894</v>
      </c>
      <c r="G37" s="297">
        <v>0.25412960609911056</v>
      </c>
      <c r="H37" s="405">
        <v>0.23306730701320716</v>
      </c>
      <c r="I37" s="351">
        <v>0.25698521075306746</v>
      </c>
      <c r="J37" s="351">
        <f>BEaH20!N33</f>
        <v>0.28209090686094146</v>
      </c>
      <c r="K37" s="351">
        <f>BEaH21!N33</f>
        <v>0.30641986995839665</v>
      </c>
      <c r="L37" s="615">
        <f>BEaH22!N33</f>
        <v>0.30408015752349143</v>
      </c>
    </row>
    <row r="38" spans="1:12" ht="15" x14ac:dyDescent="0.25">
      <c r="A38" s="237" t="s">
        <v>20</v>
      </c>
      <c r="B38" s="629">
        <f t="shared" si="2"/>
        <v>0.17111424255750815</v>
      </c>
      <c r="C38" s="238">
        <v>0.15815959741193386</v>
      </c>
      <c r="D38" s="229">
        <v>0.20232833219199403</v>
      </c>
      <c r="E38" s="347">
        <v>0.16807209713408097</v>
      </c>
      <c r="F38" s="229">
        <v>0.19128336423295372</v>
      </c>
      <c r="G38" s="228">
        <v>0.17185575573568584</v>
      </c>
      <c r="H38" s="406">
        <v>0.18547959724430313</v>
      </c>
      <c r="I38" s="347">
        <v>0.1719215301016179</v>
      </c>
      <c r="J38" s="347">
        <f>BEaH20!N34</f>
        <v>0.15181282371852117</v>
      </c>
      <c r="K38" s="347">
        <f>BEaH21!N34</f>
        <v>0.14735787333117209</v>
      </c>
      <c r="L38" s="612">
        <f>BEaH22!N34</f>
        <v>0.16287145447281889</v>
      </c>
    </row>
    <row r="39" spans="1:12" ht="15" x14ac:dyDescent="0.25">
      <c r="A39" s="302" t="s">
        <v>25</v>
      </c>
      <c r="B39" s="417">
        <f t="shared" si="2"/>
        <v>0.56209791395131548</v>
      </c>
      <c r="C39" s="303">
        <v>0</v>
      </c>
      <c r="D39" s="298">
        <v>0.39215686274509803</v>
      </c>
      <c r="E39" s="351">
        <v>0.13146886578223976</v>
      </c>
      <c r="F39" s="298">
        <v>0.63424947145877375</v>
      </c>
      <c r="G39" s="297">
        <v>0.35629453681710216</v>
      </c>
      <c r="H39" s="405">
        <v>0.20920502092050208</v>
      </c>
      <c r="I39" s="351">
        <v>0.30120481927710846</v>
      </c>
      <c r="J39" s="351">
        <f>BEaH20!N35</f>
        <v>0.22918258212375858</v>
      </c>
      <c r="K39" s="351">
        <f>BEaH21!N35</f>
        <v>0.85242408098028766</v>
      </c>
      <c r="L39" s="615">
        <f>BEaH22!N35</f>
        <v>2.5147928994082842</v>
      </c>
    </row>
    <row r="40" spans="1:12" ht="15.75" thickBot="1" x14ac:dyDescent="0.3">
      <c r="A40" s="239" t="s">
        <v>26</v>
      </c>
      <c r="B40" s="630">
        <f t="shared" si="2"/>
        <v>0.13088343922101231</v>
      </c>
      <c r="C40" s="240">
        <v>0.13007496042462055</v>
      </c>
      <c r="D40" s="229">
        <v>0.12880216929969346</v>
      </c>
      <c r="E40" s="348">
        <v>0.13819456184273726</v>
      </c>
      <c r="F40" s="231">
        <v>0.13071861920128361</v>
      </c>
      <c r="G40" s="381">
        <v>0.13209414075253784</v>
      </c>
      <c r="H40" s="407">
        <v>0.1220421228021456</v>
      </c>
      <c r="I40" s="348">
        <v>0.11935999609456045</v>
      </c>
      <c r="J40" s="348">
        <f>BEaH20!N36</f>
        <v>0.13008442596438266</v>
      </c>
      <c r="K40" s="348">
        <f>BEaH21!N36</f>
        <v>0.1358072710126442</v>
      </c>
      <c r="L40" s="621">
        <f>BEaH22!N36</f>
        <v>0.14165612481551759</v>
      </c>
    </row>
    <row r="41" spans="1:12" ht="15.75" thickBot="1" x14ac:dyDescent="0.3">
      <c r="A41" s="225" t="s">
        <v>22</v>
      </c>
      <c r="B41" s="631">
        <f t="shared" si="2"/>
        <v>0.13869896647134855</v>
      </c>
      <c r="C41" s="241">
        <v>0.14223375493083731</v>
      </c>
      <c r="D41" s="241">
        <v>0.1354482781369574</v>
      </c>
      <c r="E41" s="350">
        <v>0.14361201263331003</v>
      </c>
      <c r="F41" s="416">
        <v>0.13463324048282266</v>
      </c>
      <c r="G41" s="384">
        <v>0.13887976406864785</v>
      </c>
      <c r="H41" s="410">
        <v>0.12971851083149566</v>
      </c>
      <c r="I41" s="350">
        <v>0.12628600021628081</v>
      </c>
      <c r="J41" s="569">
        <f>BEaH20!N37</f>
        <v>0.13642323718911584</v>
      </c>
      <c r="K41" s="350">
        <f>BEaH21!N37</f>
        <v>0.14605444816565938</v>
      </c>
      <c r="L41" s="617">
        <f>BEaH22!N37</f>
        <v>0.15370041805835871</v>
      </c>
    </row>
    <row r="42" spans="1:12" x14ac:dyDescent="0.2">
      <c r="L42" s="161"/>
    </row>
  </sheetData>
  <mergeCells count="5">
    <mergeCell ref="A1:L1"/>
    <mergeCell ref="A2:L2"/>
    <mergeCell ref="C3:L3"/>
    <mergeCell ref="C13:L13"/>
    <mergeCell ref="C29:L29"/>
  </mergeCells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4"/>
  <dimension ref="A1:AC43"/>
  <sheetViews>
    <sheetView topLeftCell="A28" zoomScaleNormal="140" workbookViewId="0">
      <selection activeCell="L41" sqref="A29:L41"/>
    </sheetView>
  </sheetViews>
  <sheetFormatPr baseColWidth="10" defaultRowHeight="12.75" outlineLevelRow="1" x14ac:dyDescent="0.2"/>
  <cols>
    <col min="1" max="1" width="25" customWidth="1"/>
    <col min="2" max="2" width="9.42578125" customWidth="1"/>
    <col min="3" max="12" width="6.5703125" customWidth="1"/>
    <col min="13" max="13" width="8" customWidth="1"/>
  </cols>
  <sheetData>
    <row r="1" spans="1:28" ht="72" customHeight="1" x14ac:dyDescent="0.35">
      <c r="A1" s="781" t="s">
        <v>84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</row>
    <row r="2" spans="1:28" ht="22.5" customHeight="1" thickBot="1" x14ac:dyDescent="0.4">
      <c r="A2" s="782" t="s">
        <v>125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</row>
    <row r="3" spans="1:28" ht="45" customHeight="1" thickBot="1" x14ac:dyDescent="0.25">
      <c r="A3" s="286" t="s">
        <v>74</v>
      </c>
      <c r="B3" s="694" t="s">
        <v>75</v>
      </c>
      <c r="C3" s="783" t="s">
        <v>85</v>
      </c>
      <c r="D3" s="784"/>
      <c r="E3" s="784"/>
      <c r="F3" s="784"/>
      <c r="G3" s="784"/>
      <c r="H3" s="784"/>
      <c r="I3" s="784"/>
      <c r="J3" s="784"/>
      <c r="K3" s="785"/>
      <c r="L3" s="786"/>
      <c r="M3" s="2"/>
    </row>
    <row r="4" spans="1:28" ht="36.6" customHeight="1" thickBot="1" x14ac:dyDescent="0.3">
      <c r="A4" s="242"/>
      <c r="B4" s="485" t="s">
        <v>76</v>
      </c>
      <c r="C4" s="253">
        <v>2013</v>
      </c>
      <c r="D4" s="284">
        <v>2014</v>
      </c>
      <c r="E4" s="253">
        <v>2015</v>
      </c>
      <c r="F4" s="386">
        <v>2016</v>
      </c>
      <c r="G4" s="284">
        <v>2017</v>
      </c>
      <c r="H4" s="424">
        <v>2018</v>
      </c>
      <c r="I4" s="284">
        <v>2019</v>
      </c>
      <c r="J4" s="284">
        <v>2020</v>
      </c>
      <c r="K4" s="284">
        <v>2021</v>
      </c>
      <c r="L4" s="636">
        <v>2022</v>
      </c>
    </row>
    <row r="5" spans="1:28" ht="14.45" customHeight="1" outlineLevel="1" x14ac:dyDescent="0.25">
      <c r="A5" s="243" t="s">
        <v>62</v>
      </c>
      <c r="B5" s="699"/>
      <c r="C5" s="654"/>
      <c r="D5" s="654"/>
      <c r="E5" s="654"/>
      <c r="F5" s="654"/>
      <c r="G5" s="649"/>
      <c r="H5" s="649"/>
      <c r="I5" s="649"/>
      <c r="J5" s="650"/>
      <c r="K5" s="649"/>
      <c r="L5" s="661"/>
    </row>
    <row r="6" spans="1:28" ht="14.45" customHeight="1" outlineLevel="1" x14ac:dyDescent="0.25">
      <c r="A6" s="299" t="s">
        <v>1</v>
      </c>
      <c r="B6" s="423">
        <f>SUM(C6:L6)/10</f>
        <v>1.0041872641334151</v>
      </c>
      <c r="C6" s="300">
        <v>0.76726342710997442</v>
      </c>
      <c r="D6" s="295">
        <v>1.1834319526627219</v>
      </c>
      <c r="E6" s="351">
        <v>0.82872928176795579</v>
      </c>
      <c r="F6" s="295">
        <v>0</v>
      </c>
      <c r="G6" s="295">
        <v>0</v>
      </c>
      <c r="H6" s="351">
        <v>2.4691358024691357</v>
      </c>
      <c r="I6" s="351">
        <v>1.7241379310344827</v>
      </c>
      <c r="J6" s="351">
        <f>BEaH20!U6</f>
        <v>1.6438356164383561</v>
      </c>
      <c r="K6" s="351">
        <f>BEaH21!U6</f>
        <v>0.85227272727272729</v>
      </c>
      <c r="L6" s="615">
        <f>BEaH22!U6</f>
        <v>0.57306590257879653</v>
      </c>
    </row>
    <row r="7" spans="1:28" ht="14.45" customHeight="1" outlineLevel="1" x14ac:dyDescent="0.25">
      <c r="A7" s="479" t="s">
        <v>2</v>
      </c>
      <c r="B7" s="696">
        <f t="shared" ref="B7:B11" si="0">SUM(C7:L7)/10</f>
        <v>0.7420814557511719</v>
      </c>
      <c r="C7" s="480">
        <v>0.44374009508716322</v>
      </c>
      <c r="D7" s="480">
        <v>0.77492074674181055</v>
      </c>
      <c r="E7" s="367">
        <v>0.50596313697144923</v>
      </c>
      <c r="F7" s="366">
        <v>0.42841842199214564</v>
      </c>
      <c r="G7" s="366">
        <v>0.625</v>
      </c>
      <c r="H7" s="367">
        <v>0.86342229199372056</v>
      </c>
      <c r="I7" s="367">
        <v>1.1221945137157108</v>
      </c>
      <c r="J7" s="575">
        <f>BEaH20!U7</f>
        <v>0.98765432098765427</v>
      </c>
      <c r="K7" s="367">
        <f>BEaH21!U7</f>
        <v>1.0534846029173419</v>
      </c>
      <c r="L7" s="624">
        <f>BEaH22!U7</f>
        <v>0.61601642710472282</v>
      </c>
    </row>
    <row r="8" spans="1:28" ht="14.45" customHeight="1" outlineLevel="1" x14ac:dyDescent="0.25">
      <c r="A8" s="244" t="s">
        <v>14</v>
      </c>
      <c r="B8" s="696">
        <f t="shared" si="0"/>
        <v>0.37994185492745125</v>
      </c>
      <c r="C8" s="246">
        <v>0.46296296296296297</v>
      </c>
      <c r="D8" s="246">
        <v>0.26041666666666669</v>
      </c>
      <c r="E8" s="347">
        <v>0.52356020942408377</v>
      </c>
      <c r="F8" s="246">
        <v>0</v>
      </c>
      <c r="G8" s="246">
        <v>0.28901734104046245</v>
      </c>
      <c r="H8" s="347">
        <v>0.93167701863354035</v>
      </c>
      <c r="I8" s="397">
        <v>0.34602076124567471</v>
      </c>
      <c r="J8" s="397">
        <f>BEaH20!U8</f>
        <v>0.32786885245901637</v>
      </c>
      <c r="K8" s="367">
        <f>BEaH21!U8</f>
        <v>0.65789473684210531</v>
      </c>
      <c r="L8" s="624">
        <f>BEaH22!U8</f>
        <v>0</v>
      </c>
    </row>
    <row r="9" spans="1:28" ht="14.45" customHeight="1" outlineLevel="1" x14ac:dyDescent="0.25">
      <c r="A9" s="244" t="s">
        <v>3</v>
      </c>
      <c r="B9" s="696">
        <f t="shared" si="0"/>
        <v>0.41918911435204809</v>
      </c>
      <c r="C9" s="246">
        <v>0.35026269702276708</v>
      </c>
      <c r="D9" s="246">
        <v>0.20408163265306123</v>
      </c>
      <c r="E9" s="347">
        <v>0.18691588785046728</v>
      </c>
      <c r="F9" s="246">
        <v>0.54347826086956519</v>
      </c>
      <c r="G9" s="246">
        <v>0.37878787878787878</v>
      </c>
      <c r="H9" s="347">
        <v>0.59171597633136097</v>
      </c>
      <c r="I9" s="397">
        <v>0.62630480167014613</v>
      </c>
      <c r="J9" s="571">
        <f>BEaH20!U9</f>
        <v>0.4098360655737705</v>
      </c>
      <c r="K9" s="367">
        <f>BEaH21!N9</f>
        <v>0.2012072434607646</v>
      </c>
      <c r="L9" s="624">
        <f>BEaH22!U9</f>
        <v>0.69930069930069927</v>
      </c>
    </row>
    <row r="10" spans="1:28" ht="29.45" customHeight="1" outlineLevel="1" thickBot="1" x14ac:dyDescent="0.3">
      <c r="A10" s="419" t="s">
        <v>77</v>
      </c>
      <c r="B10" s="697">
        <f t="shared" si="0"/>
        <v>0.49835417315427505</v>
      </c>
      <c r="C10" s="420">
        <v>0.75014425851125222</v>
      </c>
      <c r="D10" s="420">
        <v>0.5623242736644799</v>
      </c>
      <c r="E10" s="421">
        <v>0.40086339808818994</v>
      </c>
      <c r="F10" s="247">
        <v>0.42852770125497397</v>
      </c>
      <c r="G10" s="247">
        <v>0.27280994240678996</v>
      </c>
      <c r="H10" s="348">
        <v>0.52910052910052907</v>
      </c>
      <c r="I10" s="401">
        <v>0.51794302626711064</v>
      </c>
      <c r="J10" s="574">
        <f>BEaH20!U10</f>
        <v>0.41739130434782606</v>
      </c>
      <c r="K10" s="632">
        <f>BEaH21!U10</f>
        <v>0.69276065119501218</v>
      </c>
      <c r="L10" s="634">
        <f>BEaH22!U10</f>
        <v>0.41167664670658682</v>
      </c>
    </row>
    <row r="11" spans="1:28" s="219" customFormat="1" ht="15" customHeight="1" outlineLevel="1" thickBot="1" x14ac:dyDescent="0.3">
      <c r="A11" s="248" t="s">
        <v>22</v>
      </c>
      <c r="B11" s="698">
        <f t="shared" si="0"/>
        <v>0.61115092619333256</v>
      </c>
      <c r="C11" s="256">
        <v>0.58640049906425451</v>
      </c>
      <c r="D11" s="256">
        <v>0.63430777716492004</v>
      </c>
      <c r="E11" s="422">
        <v>0.45273700096035119</v>
      </c>
      <c r="F11" s="256">
        <v>0.39311373186932358</v>
      </c>
      <c r="G11" s="256">
        <v>0.39666256326083982</v>
      </c>
      <c r="H11" s="350">
        <v>0.80096720568233337</v>
      </c>
      <c r="I11" s="478">
        <v>0.81927710843373491</v>
      </c>
      <c r="J11" s="573">
        <f>BEaH20!U11</f>
        <v>0.69627108154107997</v>
      </c>
      <c r="K11" s="633">
        <f>BEaH21!U11</f>
        <v>0.82974800245851255</v>
      </c>
      <c r="L11" s="635">
        <f>BEaH22!U11</f>
        <v>0.50202429149797567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8" s="219" customFormat="1" ht="20.25" customHeight="1" thickBot="1" x14ac:dyDescent="0.3">
      <c r="A12" s="279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576"/>
      <c r="M12" s="27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43.5" customHeight="1" outlineLevel="1" thickBot="1" x14ac:dyDescent="0.25">
      <c r="A13" s="286" t="s">
        <v>74</v>
      </c>
      <c r="B13" s="694" t="s">
        <v>75</v>
      </c>
      <c r="C13" s="787" t="s">
        <v>126</v>
      </c>
      <c r="D13" s="787"/>
      <c r="E13" s="787"/>
      <c r="F13" s="787"/>
      <c r="G13" s="787"/>
      <c r="H13" s="787"/>
      <c r="I13" s="787"/>
      <c r="J13" s="787"/>
      <c r="K13" s="787"/>
      <c r="L13" s="788"/>
      <c r="M13" s="2"/>
    </row>
    <row r="14" spans="1:28" ht="40.5" customHeight="1" outlineLevel="1" thickBot="1" x14ac:dyDescent="0.3">
      <c r="A14" s="242"/>
      <c r="B14" s="485" t="s">
        <v>76</v>
      </c>
      <c r="C14" s="284">
        <v>2013</v>
      </c>
      <c r="D14" s="284">
        <v>2014</v>
      </c>
      <c r="E14" s="284">
        <v>2015</v>
      </c>
      <c r="F14" s="284">
        <v>2016</v>
      </c>
      <c r="G14" s="386">
        <v>2017</v>
      </c>
      <c r="H14" s="424">
        <v>2018</v>
      </c>
      <c r="I14" s="284">
        <v>2019</v>
      </c>
      <c r="J14" s="285">
        <v>2020</v>
      </c>
      <c r="K14" s="286">
        <v>2021</v>
      </c>
      <c r="L14" s="285">
        <v>2022</v>
      </c>
    </row>
    <row r="15" spans="1:28" ht="15.95" customHeight="1" outlineLevel="1" x14ac:dyDescent="0.25">
      <c r="A15" s="288" t="s">
        <v>63</v>
      </c>
      <c r="B15" s="695"/>
      <c r="C15" s="658"/>
      <c r="D15" s="658"/>
      <c r="E15" s="658"/>
      <c r="F15" s="655"/>
      <c r="G15" s="659"/>
      <c r="H15" s="649"/>
      <c r="I15" s="649"/>
      <c r="J15" s="656"/>
      <c r="K15" s="650"/>
      <c r="L15" s="660"/>
      <c r="M15" s="294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</row>
    <row r="16" spans="1:28" s="220" customFormat="1" ht="15.95" customHeight="1" outlineLevel="1" x14ac:dyDescent="0.25">
      <c r="A16" s="244" t="s">
        <v>4</v>
      </c>
      <c r="B16" s="696">
        <f>SUM(C16:L16)/10</f>
        <v>0.42096112050229417</v>
      </c>
      <c r="C16" s="246">
        <v>1</v>
      </c>
      <c r="D16" s="246">
        <v>0</v>
      </c>
      <c r="E16" s="362">
        <v>0</v>
      </c>
      <c r="F16" s="388">
        <v>0.99009900990099009</v>
      </c>
      <c r="G16" s="388">
        <v>1</v>
      </c>
      <c r="H16" s="347">
        <v>0</v>
      </c>
      <c r="I16" s="397">
        <v>0</v>
      </c>
      <c r="J16" s="571">
        <f>BEaH20!U14</f>
        <v>0</v>
      </c>
      <c r="K16" s="347">
        <f>BEaH21!U14</f>
        <v>0</v>
      </c>
      <c r="L16" s="398">
        <f>BEaH22!U14</f>
        <v>1.2195121951219512</v>
      </c>
      <c r="M16" s="27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9" s="220" customFormat="1" ht="15.95" customHeight="1" outlineLevel="1" x14ac:dyDescent="0.25">
      <c r="A17" s="244" t="s">
        <v>5</v>
      </c>
      <c r="B17" s="696">
        <f t="shared" ref="B17:B27" si="1">SUM(C17:L17)/10</f>
        <v>0.89155706965722659</v>
      </c>
      <c r="C17" s="246">
        <v>0.55020632737276476</v>
      </c>
      <c r="D17" s="246">
        <v>1.2804097311139564</v>
      </c>
      <c r="E17" s="362">
        <v>1.0575793184488838</v>
      </c>
      <c r="F17" s="388">
        <v>0.68027210884353739</v>
      </c>
      <c r="G17" s="388">
        <v>1.0180995475113122</v>
      </c>
      <c r="H17" s="347">
        <v>0.79522862823061635</v>
      </c>
      <c r="I17" s="397">
        <v>1.0721247563352827</v>
      </c>
      <c r="J17" s="571">
        <f>BEaH20!U15</f>
        <v>0.8637236084452975</v>
      </c>
      <c r="K17" s="397">
        <f>BEaH21!U15</f>
        <v>0.84745762711864403</v>
      </c>
      <c r="L17" s="398">
        <f>BEaH22!U15</f>
        <v>0.75046904315196994</v>
      </c>
      <c r="M17" s="27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 s="218"/>
    </row>
    <row r="18" spans="1:29" s="220" customFormat="1" ht="15.95" customHeight="1" outlineLevel="1" x14ac:dyDescent="0.25">
      <c r="A18" s="244" t="s">
        <v>6</v>
      </c>
      <c r="B18" s="696">
        <f t="shared" si="1"/>
        <v>0.79812629130144086</v>
      </c>
      <c r="C18" s="246">
        <v>0.40322580645161288</v>
      </c>
      <c r="D18" s="246">
        <v>0.40816326530612246</v>
      </c>
      <c r="E18" s="362">
        <v>0.4065040650406504</v>
      </c>
      <c r="F18" s="388">
        <v>0.42553191489361702</v>
      </c>
      <c r="G18" s="388">
        <v>1.7021276595744681</v>
      </c>
      <c r="H18" s="347">
        <v>0</v>
      </c>
      <c r="I18" s="397">
        <v>0.47619047619047616</v>
      </c>
      <c r="J18" s="571">
        <f>BEaH20!U16</f>
        <v>1.8867924528301887</v>
      </c>
      <c r="K18" s="347">
        <f>BEaH21!U16</f>
        <v>2.2727272727272729</v>
      </c>
      <c r="L18" s="398">
        <f>BEaH22!U16</f>
        <v>0</v>
      </c>
      <c r="M18" s="27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 s="218"/>
    </row>
    <row r="19" spans="1:29" s="220" customFormat="1" ht="15.95" customHeight="1" outlineLevel="1" x14ac:dyDescent="0.25">
      <c r="A19" s="244" t="s">
        <v>7</v>
      </c>
      <c r="B19" s="696">
        <f t="shared" si="1"/>
        <v>0.29735959834652209</v>
      </c>
      <c r="C19" s="246">
        <v>0.66225165562913912</v>
      </c>
      <c r="D19" s="245">
        <v>0</v>
      </c>
      <c r="E19" s="362">
        <v>0</v>
      </c>
      <c r="F19" s="388">
        <v>1.4492753623188406</v>
      </c>
      <c r="G19" s="388">
        <v>0</v>
      </c>
      <c r="H19" s="347">
        <v>0</v>
      </c>
      <c r="I19" s="397">
        <v>0</v>
      </c>
      <c r="J19" s="397">
        <f>BEaH20!U17</f>
        <v>0</v>
      </c>
      <c r="K19" s="347">
        <f>BEaH21!U17</f>
        <v>0.86206896551724133</v>
      </c>
      <c r="L19" s="398">
        <f>BEaH22!U17</f>
        <v>0</v>
      </c>
      <c r="M19" s="27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 s="218"/>
    </row>
    <row r="20" spans="1:29" ht="15.95" customHeight="1" outlineLevel="1" x14ac:dyDescent="0.25">
      <c r="A20" s="703" t="s">
        <v>8</v>
      </c>
      <c r="B20" s="704">
        <f t="shared" si="1"/>
        <v>0</v>
      </c>
      <c r="C20" s="705">
        <v>0</v>
      </c>
      <c r="D20" s="706">
        <v>0</v>
      </c>
      <c r="E20" s="707">
        <v>0</v>
      </c>
      <c r="F20" s="708">
        <v>0</v>
      </c>
      <c r="G20" s="708">
        <v>0</v>
      </c>
      <c r="H20" s="709">
        <v>0</v>
      </c>
      <c r="I20" s="709">
        <v>0</v>
      </c>
      <c r="J20" s="709">
        <f>BEaH20!U18</f>
        <v>0</v>
      </c>
      <c r="K20" s="709">
        <f>BEaH21!U18</f>
        <v>0</v>
      </c>
      <c r="L20" s="710">
        <f>BEaH22!U18</f>
        <v>0</v>
      </c>
      <c r="M20" s="278"/>
      <c r="AB20" s="218"/>
    </row>
    <row r="21" spans="1:29" ht="15.95" customHeight="1" outlineLevel="1" x14ac:dyDescent="0.25">
      <c r="A21" s="703" t="s">
        <v>9</v>
      </c>
      <c r="B21" s="704">
        <f t="shared" si="1"/>
        <v>0</v>
      </c>
      <c r="C21" s="705">
        <v>0</v>
      </c>
      <c r="D21" s="706">
        <v>0</v>
      </c>
      <c r="E21" s="707">
        <v>0</v>
      </c>
      <c r="F21" s="708">
        <v>0</v>
      </c>
      <c r="G21" s="708">
        <v>0</v>
      </c>
      <c r="H21" s="709">
        <v>0</v>
      </c>
      <c r="I21" s="709">
        <v>0</v>
      </c>
      <c r="J21" s="709">
        <f>BEaH20!U19</f>
        <v>0</v>
      </c>
      <c r="K21" s="709">
        <f>BEaH21!U19</f>
        <v>0</v>
      </c>
      <c r="L21" s="710">
        <f>BEaH22!U19</f>
        <v>0</v>
      </c>
      <c r="M21" s="278"/>
      <c r="AB21" s="218"/>
    </row>
    <row r="22" spans="1:29" ht="15.95" customHeight="1" outlineLevel="1" x14ac:dyDescent="0.25">
      <c r="A22" s="479" t="s">
        <v>10</v>
      </c>
      <c r="B22" s="696">
        <f t="shared" si="1"/>
        <v>0.21739130434782608</v>
      </c>
      <c r="C22" s="366">
        <v>0</v>
      </c>
      <c r="D22" s="481">
        <v>0</v>
      </c>
      <c r="E22" s="482">
        <v>0</v>
      </c>
      <c r="F22" s="483">
        <v>0</v>
      </c>
      <c r="G22" s="483">
        <v>0</v>
      </c>
      <c r="H22" s="367">
        <v>2.1739130434782608</v>
      </c>
      <c r="I22" s="367">
        <v>0</v>
      </c>
      <c r="J22" s="397">
        <f>BEaH20!U20</f>
        <v>0</v>
      </c>
      <c r="K22" s="347">
        <f>BEaH21!U20</f>
        <v>0</v>
      </c>
      <c r="L22" s="398">
        <f>BEaH22!U20</f>
        <v>0</v>
      </c>
      <c r="M22" s="637"/>
      <c r="N22" s="637"/>
      <c r="AB22" s="218"/>
    </row>
    <row r="23" spans="1:29" s="191" customFormat="1" ht="15.95" customHeight="1" outlineLevel="1" x14ac:dyDescent="0.25">
      <c r="A23" s="244" t="s">
        <v>11</v>
      </c>
      <c r="B23" s="696">
        <f t="shared" si="1"/>
        <v>1.1212055168581163</v>
      </c>
      <c r="C23" s="246">
        <v>1.8315018315018314</v>
      </c>
      <c r="D23" s="246">
        <v>1.1111111111111112</v>
      </c>
      <c r="E23" s="362">
        <v>0.92879256965944268</v>
      </c>
      <c r="F23" s="388">
        <v>0</v>
      </c>
      <c r="G23" s="388">
        <v>0.5376344086021505</v>
      </c>
      <c r="H23" s="347">
        <v>0.7142857142857143</v>
      </c>
      <c r="I23" s="347">
        <v>2.4096385542168677</v>
      </c>
      <c r="J23" s="397">
        <f>BEaH20!U21</f>
        <v>1.5765765765765767</v>
      </c>
      <c r="K23" s="347">
        <f>BEaH21!U21</f>
        <v>0.88300220750551872</v>
      </c>
      <c r="L23" s="398">
        <f>BEaH22!U21</f>
        <v>1.2195121951219512</v>
      </c>
      <c r="M23" s="27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 s="218"/>
    </row>
    <row r="24" spans="1:29" s="191" customFormat="1" ht="15.95" customHeight="1" outlineLevel="1" x14ac:dyDescent="0.25">
      <c r="A24" s="244" t="s">
        <v>12</v>
      </c>
      <c r="B24" s="696">
        <f t="shared" si="1"/>
        <v>0.47310714738524168</v>
      </c>
      <c r="C24" s="246">
        <v>0.49064704078503524</v>
      </c>
      <c r="D24" s="246">
        <v>0.44285470958950773</v>
      </c>
      <c r="E24" s="362">
        <v>0.356839422259983</v>
      </c>
      <c r="F24" s="388">
        <v>0.69036934760096647</v>
      </c>
      <c r="G24" s="388">
        <v>0.46354073809948299</v>
      </c>
      <c r="H24" s="347">
        <v>0.48197416618469252</v>
      </c>
      <c r="I24" s="347">
        <v>0.60860440713536201</v>
      </c>
      <c r="J24" s="397">
        <f>BEaH20!U22</f>
        <v>0.46669495120916421</v>
      </c>
      <c r="K24" s="347">
        <f>BEaH21!U22</f>
        <v>0.49913194444444442</v>
      </c>
      <c r="L24" s="398">
        <f>BEaH22!U22</f>
        <v>0.2304147465437788</v>
      </c>
      <c r="M24" s="27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 s="218"/>
    </row>
    <row r="25" spans="1:29" s="221" customFormat="1" ht="15.95" customHeight="1" outlineLevel="1" x14ac:dyDescent="0.25">
      <c r="A25" s="299" t="s">
        <v>13</v>
      </c>
      <c r="B25" s="423">
        <f t="shared" si="1"/>
        <v>2.613592597496825</v>
      </c>
      <c r="C25" s="295">
        <v>0</v>
      </c>
      <c r="D25" s="295">
        <v>3.3333333333333335</v>
      </c>
      <c r="E25" s="614">
        <v>0</v>
      </c>
      <c r="F25" s="387">
        <v>0</v>
      </c>
      <c r="G25" s="387">
        <v>3.5714285714285716</v>
      </c>
      <c r="H25" s="351">
        <v>9.0909090909090917</v>
      </c>
      <c r="I25" s="351">
        <v>3.4482758620689653</v>
      </c>
      <c r="J25" s="351">
        <f>BEaH20!U23</f>
        <v>0</v>
      </c>
      <c r="K25" s="351">
        <f>BEaH21!U23</f>
        <v>4.6511627906976747</v>
      </c>
      <c r="L25" s="399">
        <f>BEaH22!U23</f>
        <v>2.0408163265306123</v>
      </c>
      <c r="M25" s="27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 s="218"/>
    </row>
    <row r="26" spans="1:29" ht="15.95" customHeight="1" thickBot="1" x14ac:dyDescent="0.3">
      <c r="A26" s="287" t="s">
        <v>78</v>
      </c>
      <c r="B26" s="697">
        <f t="shared" si="1"/>
        <v>0.58579336163288964</v>
      </c>
      <c r="C26" s="247">
        <v>0.31088082901554404</v>
      </c>
      <c r="D26" s="247">
        <v>0.2788622420524261</v>
      </c>
      <c r="E26" s="364">
        <v>0.26497085320614733</v>
      </c>
      <c r="F26" s="389">
        <v>0.88357588357588357</v>
      </c>
      <c r="G26" s="389">
        <v>0.33641715727502103</v>
      </c>
      <c r="H26" s="348">
        <v>0.77661032434901778</v>
      </c>
      <c r="I26" s="348">
        <v>0.71942446043165464</v>
      </c>
      <c r="J26" s="572">
        <f>BEaH20!U24</f>
        <v>0.38379530916844351</v>
      </c>
      <c r="K26" s="348">
        <f>BEaH21!U24</f>
        <v>1.0615711252653928</v>
      </c>
      <c r="L26" s="634">
        <f>BEaH22!U24</f>
        <v>0.84182543198936644</v>
      </c>
      <c r="M26" s="278"/>
      <c r="AB26" s="218"/>
    </row>
    <row r="27" spans="1:29" ht="15.75" outlineLevel="1" thickBot="1" x14ac:dyDescent="0.3">
      <c r="A27" s="251" t="s">
        <v>22</v>
      </c>
      <c r="B27" s="698">
        <f t="shared" si="1"/>
        <v>0.57793812840793501</v>
      </c>
      <c r="C27" s="256">
        <v>0.49285362247412517</v>
      </c>
      <c r="D27" s="256">
        <v>0.48993503035467034</v>
      </c>
      <c r="E27" s="363">
        <v>0.40663121676571784</v>
      </c>
      <c r="F27" s="390">
        <v>0.69595928118832451</v>
      </c>
      <c r="G27" s="425">
        <v>0.51656031601336982</v>
      </c>
      <c r="H27" s="349">
        <v>0.59372349448685324</v>
      </c>
      <c r="I27" s="349">
        <v>0.75513603553581343</v>
      </c>
      <c r="J27" s="573">
        <f>BEaH20!U25</f>
        <v>0.56068601583113453</v>
      </c>
      <c r="K27" s="350">
        <f>BEaH21!U25</f>
        <v>0.75999559422843921</v>
      </c>
      <c r="L27" s="638">
        <f>BEaH22!U25</f>
        <v>0.50790067720090293</v>
      </c>
      <c r="M27" s="278"/>
      <c r="AB27" s="218"/>
    </row>
    <row r="28" spans="1:29" ht="15.75" outlineLevel="1" thickBot="1" x14ac:dyDescent="0.3">
      <c r="A28" s="277"/>
      <c r="B28" s="249"/>
      <c r="K28" s="250"/>
      <c r="L28" s="570"/>
      <c r="M28" s="276">
        <f>SUM(C28:L28)</f>
        <v>0</v>
      </c>
      <c r="N28" s="278"/>
      <c r="AC28" s="218"/>
    </row>
    <row r="29" spans="1:29" ht="41.25" customHeight="1" outlineLevel="1" thickBot="1" x14ac:dyDescent="0.25">
      <c r="A29" s="286" t="s">
        <v>74</v>
      </c>
      <c r="B29" s="694" t="s">
        <v>75</v>
      </c>
      <c r="C29" s="789" t="s">
        <v>85</v>
      </c>
      <c r="D29" s="784"/>
      <c r="E29" s="784"/>
      <c r="F29" s="784"/>
      <c r="G29" s="784"/>
      <c r="H29" s="784"/>
      <c r="I29" s="784"/>
      <c r="J29" s="784"/>
      <c r="K29" s="784"/>
      <c r="L29" s="786"/>
      <c r="M29" s="2"/>
    </row>
    <row r="30" spans="1:29" ht="39" customHeight="1" outlineLevel="1" thickBot="1" x14ac:dyDescent="0.3">
      <c r="A30" s="242"/>
      <c r="B30" s="485" t="s">
        <v>76</v>
      </c>
      <c r="C30" s="284">
        <v>2013</v>
      </c>
      <c r="D30" s="284">
        <v>2014</v>
      </c>
      <c r="E30" s="284">
        <v>2015</v>
      </c>
      <c r="F30" s="386">
        <v>2016</v>
      </c>
      <c r="G30" s="386">
        <v>2017</v>
      </c>
      <c r="H30" s="426">
        <v>2018</v>
      </c>
      <c r="I30" s="284">
        <v>2019</v>
      </c>
      <c r="J30" s="386">
        <v>2020</v>
      </c>
      <c r="K30" s="285">
        <v>2021</v>
      </c>
      <c r="L30" s="285">
        <v>2022</v>
      </c>
    </row>
    <row r="31" spans="1:29" ht="15" outlineLevel="1" x14ac:dyDescent="0.25">
      <c r="A31" s="243" t="s">
        <v>64</v>
      </c>
      <c r="B31" s="695"/>
      <c r="C31" s="654"/>
      <c r="D31" s="652"/>
      <c r="E31" s="652"/>
      <c r="F31" s="655"/>
      <c r="G31" s="656"/>
      <c r="H31" s="649"/>
      <c r="I31" s="649"/>
      <c r="J31" s="657"/>
      <c r="K31" s="651"/>
      <c r="L31" s="651"/>
    </row>
    <row r="32" spans="1:29" ht="15" outlineLevel="1" x14ac:dyDescent="0.25">
      <c r="A32" s="291" t="s">
        <v>15</v>
      </c>
      <c r="B32" s="696">
        <f>SUM(C32:L32)/10</f>
        <v>0.11552385132547802</v>
      </c>
      <c r="C32" s="246">
        <v>8.3338675556125397E-2</v>
      </c>
      <c r="D32" s="246">
        <v>0.12082158679017317</v>
      </c>
      <c r="E32" s="347">
        <v>7.8952562668596613E-2</v>
      </c>
      <c r="F32" s="388">
        <v>0.11811023622047244</v>
      </c>
      <c r="G32" s="388">
        <v>0.10058338362502514</v>
      </c>
      <c r="H32" s="347">
        <v>0.15598507968802985</v>
      </c>
      <c r="I32" s="347">
        <v>0.16327110101512032</v>
      </c>
      <c r="J32" s="565">
        <f>BEaH20!U28</f>
        <v>8.4471350133746306E-2</v>
      </c>
      <c r="K32" s="394">
        <f>BEaH21!U28</f>
        <v>0.16223460534668829</v>
      </c>
      <c r="L32" s="394">
        <f>BEaH22!U28</f>
        <v>8.7469932210802542E-2</v>
      </c>
    </row>
    <row r="33" spans="1:27" s="220" customFormat="1" ht="15" outlineLevel="1" x14ac:dyDescent="0.25">
      <c r="A33" s="723" t="s">
        <v>16</v>
      </c>
      <c r="B33" s="724">
        <f t="shared" ref="B33:B41" si="2">SUM(C33:L33)/10</f>
        <v>0.32307909898896942</v>
      </c>
      <c r="C33" s="725">
        <v>0.43277122817489927</v>
      </c>
      <c r="D33" s="725">
        <v>0.4007052412245552</v>
      </c>
      <c r="E33" s="726">
        <v>0.2672535764816853</v>
      </c>
      <c r="F33" s="727">
        <v>0.26254826254826252</v>
      </c>
      <c r="G33" s="727">
        <v>0.28284098051539913</v>
      </c>
      <c r="H33" s="726">
        <v>0.30216284987277353</v>
      </c>
      <c r="I33" s="726">
        <v>0.29244796146568036</v>
      </c>
      <c r="J33" s="728">
        <f>BEaH20!U29</f>
        <v>0.30601836110166608</v>
      </c>
      <c r="K33" s="729">
        <f>BEaH21!U29</f>
        <v>0.34728251432540369</v>
      </c>
      <c r="L33" s="729">
        <f>BEaH22!U29</f>
        <v>0.33676001417936902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outlineLevel="1" x14ac:dyDescent="0.25">
      <c r="A34" s="723" t="s">
        <v>35</v>
      </c>
      <c r="B34" s="724">
        <f t="shared" si="2"/>
        <v>0.49439155179408933</v>
      </c>
      <c r="C34" s="725">
        <v>0.58614193008164117</v>
      </c>
      <c r="D34" s="725">
        <v>0.52587294909549853</v>
      </c>
      <c r="E34" s="726">
        <v>0.5283178360101437</v>
      </c>
      <c r="F34" s="727">
        <v>0.30358227079538552</v>
      </c>
      <c r="G34" s="727">
        <v>0.50505050505050508</v>
      </c>
      <c r="H34" s="726">
        <v>0.68699012451696007</v>
      </c>
      <c r="I34" s="726">
        <v>0.48010973936899864</v>
      </c>
      <c r="J34" s="728">
        <f>BEaH20!U30</f>
        <v>0.47307952241495832</v>
      </c>
      <c r="K34" s="729">
        <f>BEaH21!U30</f>
        <v>0.41105275176981043</v>
      </c>
      <c r="L34" s="729">
        <f>BEaH22!U30</f>
        <v>0.44371788883699204</v>
      </c>
    </row>
    <row r="35" spans="1:27" ht="15" outlineLevel="1" x14ac:dyDescent="0.25">
      <c r="A35" s="291" t="s">
        <v>17</v>
      </c>
      <c r="B35" s="696">
        <f t="shared" si="2"/>
        <v>6.2437989763713585E-2</v>
      </c>
      <c r="C35" s="246">
        <v>9.1380733404079706E-2</v>
      </c>
      <c r="D35" s="246">
        <v>6.6391043244711345E-2</v>
      </c>
      <c r="E35" s="347">
        <v>9.1865461549859237E-2</v>
      </c>
      <c r="F35" s="388">
        <v>7.3522924447842836E-2</v>
      </c>
      <c r="G35" s="388">
        <v>3.0806198207079263E-2</v>
      </c>
      <c r="H35" s="347">
        <v>5.8357392960255543E-2</v>
      </c>
      <c r="I35" s="347">
        <v>7.104566298520959E-2</v>
      </c>
      <c r="J35" s="347">
        <f>BEaH20!U31</f>
        <v>6.0875973214571784E-2</v>
      </c>
      <c r="K35" s="398">
        <f>BEaH21!U31</f>
        <v>5.6971039721474916E-2</v>
      </c>
      <c r="L35" s="394">
        <f>BEaH22!U31</f>
        <v>2.3163467902051621E-2</v>
      </c>
    </row>
    <row r="36" spans="1:27" ht="15" outlineLevel="1" x14ac:dyDescent="0.25">
      <c r="A36" s="291" t="s">
        <v>18</v>
      </c>
      <c r="B36" s="696">
        <f t="shared" si="2"/>
        <v>0.16127620299114792</v>
      </c>
      <c r="C36" s="246">
        <v>0.19590557351356647</v>
      </c>
      <c r="D36" s="246">
        <v>0.16030779095864059</v>
      </c>
      <c r="E36" s="347">
        <v>0.20920502092050208</v>
      </c>
      <c r="F36" s="388">
        <v>0.18234473881797705</v>
      </c>
      <c r="G36" s="388">
        <v>0.14135044036098729</v>
      </c>
      <c r="H36" s="347">
        <v>0.1012829169480081</v>
      </c>
      <c r="I36" s="347">
        <v>0.18101887768295838</v>
      </c>
      <c r="J36" s="347">
        <f>BEaH20!U32</f>
        <v>0.15321756894790603</v>
      </c>
      <c r="K36" s="398">
        <f>BEaH21!U32</f>
        <v>0.14301036825169824</v>
      </c>
      <c r="L36" s="394">
        <f>BEaH22!U32</f>
        <v>0.14511873350923482</v>
      </c>
    </row>
    <row r="37" spans="1:27" ht="15" outlineLevel="1" x14ac:dyDescent="0.25">
      <c r="A37" s="723" t="s">
        <v>19</v>
      </c>
      <c r="B37" s="724">
        <f t="shared" si="2"/>
        <v>0.34618826396935082</v>
      </c>
      <c r="C37" s="725">
        <v>0.32895444088495196</v>
      </c>
      <c r="D37" s="725">
        <v>0.41546323039324595</v>
      </c>
      <c r="E37" s="726">
        <v>0.38504732873415692</v>
      </c>
      <c r="F37" s="727">
        <v>0.31881219684375928</v>
      </c>
      <c r="G37" s="727">
        <v>0.34654037195333254</v>
      </c>
      <c r="H37" s="726">
        <v>0.36019492902041106</v>
      </c>
      <c r="I37" s="726">
        <v>0.36028318762439848</v>
      </c>
      <c r="J37" s="726">
        <f>BEaH20!U33</f>
        <v>0.33360315941815682</v>
      </c>
      <c r="K37" s="729">
        <f>BEaH21!U33</f>
        <v>0.32385839914302084</v>
      </c>
      <c r="L37" s="729">
        <f>BEaH22!U33</f>
        <v>0.28912539567807383</v>
      </c>
    </row>
    <row r="38" spans="1:27" ht="15" x14ac:dyDescent="0.25">
      <c r="A38" s="291" t="s">
        <v>20</v>
      </c>
      <c r="B38" s="696">
        <f t="shared" si="2"/>
        <v>0.21680240639097881</v>
      </c>
      <c r="C38" s="246">
        <v>0.26455787203450754</v>
      </c>
      <c r="D38" s="246">
        <v>0.27392143435223804</v>
      </c>
      <c r="E38" s="347">
        <v>0.18256107102495001</v>
      </c>
      <c r="F38" s="388">
        <v>0.16185515435096084</v>
      </c>
      <c r="G38" s="388">
        <v>0.19190559390484921</v>
      </c>
      <c r="H38" s="347">
        <v>0.25319437084142965</v>
      </c>
      <c r="I38" s="347">
        <v>0.23025204924323828</v>
      </c>
      <c r="J38" s="347">
        <f>BEaH20!U34</f>
        <v>0.22027743049354051</v>
      </c>
      <c r="K38" s="398">
        <f>BEaH21!U34</f>
        <v>0.16209366066428929</v>
      </c>
      <c r="L38" s="394">
        <f>BEaH22!U34</f>
        <v>0.22740542699978489</v>
      </c>
    </row>
    <row r="39" spans="1:27" ht="15" x14ac:dyDescent="0.25">
      <c r="A39" s="304" t="s">
        <v>25</v>
      </c>
      <c r="B39" s="423">
        <f t="shared" si="2"/>
        <v>1.5260212830110464</v>
      </c>
      <c r="C39" s="295">
        <v>2.2522522522522523</v>
      </c>
      <c r="D39" s="295">
        <v>4.7058823529411766</v>
      </c>
      <c r="E39" s="351">
        <v>0.11951715071112705</v>
      </c>
      <c r="F39" s="387">
        <v>2.3255813953488373</v>
      </c>
      <c r="G39" s="387">
        <v>0.71258907363420432</v>
      </c>
      <c r="H39" s="351">
        <v>1.2552301255230125</v>
      </c>
      <c r="I39" s="351">
        <v>1.2048192771084338</v>
      </c>
      <c r="J39" s="351">
        <f>BEaH20!U35</f>
        <v>0.30557677616501144</v>
      </c>
      <c r="K39" s="399">
        <f>BEaH21!U35</f>
        <v>0.15982951518380395</v>
      </c>
      <c r="L39" s="399">
        <f>BEaH22!U35</f>
        <v>2.2189349112426036</v>
      </c>
    </row>
    <row r="40" spans="1:27" ht="15.75" thickBot="1" x14ac:dyDescent="0.3">
      <c r="A40" s="292" t="s">
        <v>26</v>
      </c>
      <c r="B40" s="697">
        <f t="shared" si="2"/>
        <v>0.18741325279967794</v>
      </c>
      <c r="C40" s="247">
        <v>0.20951671477791228</v>
      </c>
      <c r="D40" s="247">
        <v>0.20838245696769631</v>
      </c>
      <c r="E40" s="348">
        <v>0.19293570866976331</v>
      </c>
      <c r="F40" s="389">
        <v>0.1881322872426317</v>
      </c>
      <c r="G40" s="389">
        <v>0.17994711249685341</v>
      </c>
      <c r="H40" s="348">
        <v>0.1668639802783827</v>
      </c>
      <c r="I40" s="348">
        <v>0.19551606722237816</v>
      </c>
      <c r="J40" s="421">
        <f>BEaH20!U36</f>
        <v>0.16805501516479704</v>
      </c>
      <c r="K40" s="634">
        <f>BEaH21!U36</f>
        <v>0.18513247184443657</v>
      </c>
      <c r="L40" s="620">
        <f>BEaH22!U36</f>
        <v>0.17965071333192775</v>
      </c>
    </row>
    <row r="41" spans="1:27" ht="15.75" thickBot="1" x14ac:dyDescent="0.3">
      <c r="A41" s="242" t="s">
        <v>22</v>
      </c>
      <c r="B41" s="698">
        <f t="shared" si="2"/>
        <v>0.1971744574228243</v>
      </c>
      <c r="C41" s="290">
        <v>0.21979748814382935</v>
      </c>
      <c r="D41" s="290">
        <v>0.22657177727932445</v>
      </c>
      <c r="E41" s="349">
        <v>0.20139784885119863</v>
      </c>
      <c r="F41" s="391">
        <v>0.19164345403899721</v>
      </c>
      <c r="G41" s="427">
        <v>0.18705881494134566</v>
      </c>
      <c r="H41" s="349">
        <v>0.18701085311540624</v>
      </c>
      <c r="I41" s="349">
        <v>0.206016638959506</v>
      </c>
      <c r="J41" s="418">
        <f>BEaH20!U37</f>
        <v>0.1790113203012621</v>
      </c>
      <c r="K41" s="640">
        <f>BEaH21!U37</f>
        <v>0.18835528035959037</v>
      </c>
      <c r="L41" s="639">
        <f>BEaH22!U37</f>
        <v>0.18488109823778318</v>
      </c>
    </row>
    <row r="42" spans="1:27" x14ac:dyDescent="0.2">
      <c r="K42" s="161"/>
      <c r="L42" s="2"/>
      <c r="M42" s="278"/>
    </row>
    <row r="43" spans="1:27" x14ac:dyDescent="0.2">
      <c r="L43" s="2"/>
    </row>
  </sheetData>
  <mergeCells count="5">
    <mergeCell ref="A1:L1"/>
    <mergeCell ref="A2:L2"/>
    <mergeCell ref="C3:L3"/>
    <mergeCell ref="C13:L13"/>
    <mergeCell ref="C29:L29"/>
  </mergeCells>
  <pageMargins left="0.39370078740157483" right="0.39370078740157483" top="0.19685039370078741" bottom="0.59055118110236227" header="0.31496062992125984" footer="0.51181102362204722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pageSetUpPr fitToPage="1"/>
  </sheetPr>
  <dimension ref="A1:M42"/>
  <sheetViews>
    <sheetView showWhiteSpace="0" topLeftCell="A28" zoomScale="90" zoomScaleNormal="90" workbookViewId="0">
      <selection activeCell="L27" sqref="A13:L27"/>
    </sheetView>
  </sheetViews>
  <sheetFormatPr baseColWidth="10" defaultRowHeight="12.75" outlineLevelRow="1" x14ac:dyDescent="0.2"/>
  <cols>
    <col min="1" max="1" width="25" customWidth="1"/>
    <col min="2" max="2" width="9.42578125" customWidth="1"/>
    <col min="3" max="12" width="5.5703125" customWidth="1"/>
    <col min="13" max="13" width="8.85546875" customWidth="1"/>
  </cols>
  <sheetData>
    <row r="1" spans="1:13" ht="20.25" customHeight="1" x14ac:dyDescent="0.35">
      <c r="A1" s="781" t="s">
        <v>86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</row>
    <row r="2" spans="1:13" ht="21.75" thickBot="1" x14ac:dyDescent="0.4">
      <c r="A2" s="782" t="s">
        <v>125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</row>
    <row r="3" spans="1:13" ht="45" customHeight="1" thickBot="1" x14ac:dyDescent="0.25">
      <c r="A3" s="224" t="s">
        <v>74</v>
      </c>
      <c r="B3" s="484" t="s">
        <v>81</v>
      </c>
      <c r="C3" s="778" t="s">
        <v>82</v>
      </c>
      <c r="D3" s="779"/>
      <c r="E3" s="779"/>
      <c r="F3" s="779"/>
      <c r="G3" s="779"/>
      <c r="H3" s="779"/>
      <c r="I3" s="779"/>
      <c r="J3" s="779"/>
      <c r="K3" s="779"/>
      <c r="L3" s="780"/>
    </row>
    <row r="4" spans="1:13" ht="36.6" customHeight="1" thickBot="1" x14ac:dyDescent="0.3">
      <c r="A4" s="242"/>
      <c r="B4" s="485" t="s">
        <v>76</v>
      </c>
      <c r="C4" s="284">
        <v>2013</v>
      </c>
      <c r="D4" s="284">
        <v>2014</v>
      </c>
      <c r="E4" s="284">
        <v>2015</v>
      </c>
      <c r="F4" s="284">
        <v>2016</v>
      </c>
      <c r="G4" s="284">
        <v>2017</v>
      </c>
      <c r="H4" s="424">
        <v>2018</v>
      </c>
      <c r="I4" s="284">
        <v>2019</v>
      </c>
      <c r="J4" s="284">
        <v>2020</v>
      </c>
      <c r="K4" s="284">
        <v>2021</v>
      </c>
      <c r="L4" s="670">
        <v>2022</v>
      </c>
    </row>
    <row r="5" spans="1:13" ht="14.45" customHeight="1" outlineLevel="1" x14ac:dyDescent="0.25">
      <c r="A5" s="430" t="s">
        <v>62</v>
      </c>
      <c r="B5" s="700"/>
      <c r="C5" s="648"/>
      <c r="D5" s="648"/>
      <c r="E5" s="648"/>
      <c r="F5" s="648"/>
      <c r="G5" s="648"/>
      <c r="H5" s="649"/>
      <c r="I5" s="649"/>
      <c r="J5" s="649"/>
      <c r="K5" s="712"/>
      <c r="L5" s="651"/>
    </row>
    <row r="6" spans="1:13" ht="14.45" customHeight="1" outlineLevel="1" x14ac:dyDescent="0.25">
      <c r="A6" s="254" t="s">
        <v>1</v>
      </c>
      <c r="B6" s="486">
        <f>SUM(C6:L6)/10</f>
        <v>0.42478086622628686</v>
      </c>
      <c r="C6" s="246">
        <v>0</v>
      </c>
      <c r="D6" s="246">
        <v>0.59171597633136097</v>
      </c>
      <c r="E6" s="400">
        <v>0</v>
      </c>
      <c r="F6" s="246">
        <v>0.26315789473684209</v>
      </c>
      <c r="G6" s="246">
        <v>0.4784688995215311</v>
      </c>
      <c r="H6" s="397">
        <v>1.2345679012345678</v>
      </c>
      <c r="I6" s="347">
        <v>0.28735632183908044</v>
      </c>
      <c r="J6" s="347">
        <f>BEaH20!AB6</f>
        <v>0.82191780821917804</v>
      </c>
      <c r="K6" s="347">
        <f>BEaH21!AB6</f>
        <v>0.28409090909090912</v>
      </c>
      <c r="L6" s="394">
        <f>BEaH22!AB6</f>
        <v>0.28653295128939826</v>
      </c>
    </row>
    <row r="7" spans="1:13" ht="14.45" customHeight="1" outlineLevel="1" x14ac:dyDescent="0.25">
      <c r="A7" s="299" t="s">
        <v>2</v>
      </c>
      <c r="B7" s="647">
        <f t="shared" ref="B7:B11" si="0">SUM(C7:L7)/10</f>
        <v>0.47892471094573075</v>
      </c>
      <c r="C7" s="300">
        <v>0.47543581616481773</v>
      </c>
      <c r="D7" s="300">
        <v>0.21134202183867559</v>
      </c>
      <c r="E7" s="351">
        <v>0.39754246476328153</v>
      </c>
      <c r="F7" s="295">
        <v>0.17850767583006069</v>
      </c>
      <c r="G7" s="295">
        <v>0.44117647058823528</v>
      </c>
      <c r="H7" s="351">
        <v>0.70643642072213497</v>
      </c>
      <c r="I7" s="351">
        <v>0.29093931837073983</v>
      </c>
      <c r="J7" s="351">
        <f>BEaH20!AB7</f>
        <v>1.0699588477366255</v>
      </c>
      <c r="K7" s="351">
        <f>BEaH21!AB7</f>
        <v>0.64829821717990277</v>
      </c>
      <c r="L7" s="399">
        <f>BEaH22!AB7</f>
        <v>0.36960985626283366</v>
      </c>
    </row>
    <row r="8" spans="1:13" ht="14.45" customHeight="1" outlineLevel="1" x14ac:dyDescent="0.25">
      <c r="A8" s="244" t="s">
        <v>14</v>
      </c>
      <c r="B8" s="486">
        <f t="shared" si="0"/>
        <v>0.22093721327962806</v>
      </c>
      <c r="C8" s="246">
        <v>0</v>
      </c>
      <c r="D8" s="246">
        <v>0</v>
      </c>
      <c r="E8" s="347">
        <v>0.26178010471204188</v>
      </c>
      <c r="F8" s="246">
        <v>0</v>
      </c>
      <c r="G8" s="246">
        <v>0.28901734104046245</v>
      </c>
      <c r="H8" s="347">
        <v>0</v>
      </c>
      <c r="I8" s="347">
        <v>0.34602076124567471</v>
      </c>
      <c r="J8" s="347">
        <f>BEaH20!AB8</f>
        <v>0.98360655737704916</v>
      </c>
      <c r="K8" s="347">
        <f>BEaH21!AB8</f>
        <v>0.32894736842105265</v>
      </c>
      <c r="L8" s="394">
        <f>BEaH22!AB8</f>
        <v>0</v>
      </c>
    </row>
    <row r="9" spans="1:13" ht="14.45" customHeight="1" outlineLevel="1" x14ac:dyDescent="0.25">
      <c r="A9" s="244" t="s">
        <v>3</v>
      </c>
      <c r="B9" s="486">
        <f t="shared" si="0"/>
        <v>0.26934714217464995</v>
      </c>
      <c r="C9" s="246">
        <v>0.17513134851138354</v>
      </c>
      <c r="D9" s="246">
        <v>0.20408163265306123</v>
      </c>
      <c r="E9" s="347">
        <v>0.37383177570093457</v>
      </c>
      <c r="F9" s="246">
        <v>0.18115942028985507</v>
      </c>
      <c r="G9" s="246">
        <v>0.75757575757575757</v>
      </c>
      <c r="H9" s="347">
        <v>0.59171597633136097</v>
      </c>
      <c r="I9" s="347">
        <v>0.20876826722338204</v>
      </c>
      <c r="J9" s="347">
        <f>BEaH20!AB9</f>
        <v>0</v>
      </c>
      <c r="K9" s="347">
        <f>BEaH21!AB9</f>
        <v>0.2012072434607646</v>
      </c>
      <c r="L9" s="394">
        <f>BEaH22!AB9</f>
        <v>0</v>
      </c>
    </row>
    <row r="10" spans="1:13" ht="30.75" outlineLevel="1" thickBot="1" x14ac:dyDescent="0.3">
      <c r="A10" s="287" t="s">
        <v>77</v>
      </c>
      <c r="B10" s="487">
        <f t="shared" si="0"/>
        <v>0.16920603088792857</v>
      </c>
      <c r="C10" s="247">
        <v>0.14425851125216388</v>
      </c>
      <c r="D10" s="247">
        <v>9.3720712277413312E-2</v>
      </c>
      <c r="E10" s="348">
        <v>0.1541782300339192</v>
      </c>
      <c r="F10" s="247">
        <v>3.0609121518212427E-2</v>
      </c>
      <c r="G10" s="247">
        <v>0.21218551076083661</v>
      </c>
      <c r="H10" s="348">
        <v>0.24691358024691357</v>
      </c>
      <c r="I10" s="348">
        <v>0.14798372179060304</v>
      </c>
      <c r="J10" s="348">
        <f>BEaH20!AB10</f>
        <v>0.31304347826086959</v>
      </c>
      <c r="K10" s="348">
        <f>BEaH21!AB10</f>
        <v>0.31174229303775547</v>
      </c>
      <c r="L10" s="395">
        <f>BEaH22!AB10</f>
        <v>3.7425149700598799E-2</v>
      </c>
    </row>
    <row r="11" spans="1:13" ht="15.75" outlineLevel="1" thickBot="1" x14ac:dyDescent="0.3">
      <c r="A11" s="434" t="s">
        <v>22</v>
      </c>
      <c r="B11" s="665">
        <f t="shared" si="0"/>
        <v>0.31185934620853717</v>
      </c>
      <c r="C11" s="433">
        <v>0.26200873362445415</v>
      </c>
      <c r="D11" s="433">
        <v>0.16547159404302261</v>
      </c>
      <c r="E11" s="349">
        <v>0.26066675812868706</v>
      </c>
      <c r="F11" s="433">
        <v>0.10844516741222719</v>
      </c>
      <c r="G11" s="433">
        <v>0.35562850499247711</v>
      </c>
      <c r="H11" s="349">
        <v>0.49871542995315099</v>
      </c>
      <c r="I11" s="349">
        <v>0.22489959839357429</v>
      </c>
      <c r="J11" s="350">
        <f>BEaH20!AB11</f>
        <v>0.63438031873742839</v>
      </c>
      <c r="K11" s="349">
        <f>BEaH21!AB11</f>
        <v>0.43023970497848801</v>
      </c>
      <c r="L11" s="646">
        <f>BEaH22!AB11</f>
        <v>0.17813765182186234</v>
      </c>
    </row>
    <row r="12" spans="1:13" ht="18.75" customHeight="1" thickBot="1" x14ac:dyDescent="0.3">
      <c r="A12" s="279"/>
      <c r="B12" s="250"/>
      <c r="C12" s="250"/>
      <c r="D12" s="255"/>
      <c r="E12" s="255"/>
      <c r="F12" s="250"/>
      <c r="G12" s="250"/>
      <c r="H12" s="250"/>
      <c r="I12" s="250"/>
      <c r="J12" s="250"/>
      <c r="K12" s="570"/>
      <c r="L12" s="570"/>
      <c r="M12" s="218"/>
    </row>
    <row r="13" spans="1:13" ht="45" customHeight="1" outlineLevel="1" thickBot="1" x14ac:dyDescent="0.25">
      <c r="A13" s="224" t="s">
        <v>74</v>
      </c>
      <c r="B13" s="484" t="s">
        <v>81</v>
      </c>
      <c r="C13" s="778" t="s">
        <v>82</v>
      </c>
      <c r="D13" s="779"/>
      <c r="E13" s="779"/>
      <c r="F13" s="779"/>
      <c r="G13" s="779"/>
      <c r="H13" s="779"/>
      <c r="I13" s="779"/>
      <c r="J13" s="779"/>
      <c r="K13" s="779"/>
      <c r="L13" s="780"/>
    </row>
    <row r="14" spans="1:13" ht="39.75" customHeight="1" outlineLevel="1" thickBot="1" x14ac:dyDescent="0.3">
      <c r="A14" s="242"/>
      <c r="B14" s="485" t="s">
        <v>76</v>
      </c>
      <c r="C14" s="284">
        <v>2013</v>
      </c>
      <c r="D14" s="284">
        <v>2014</v>
      </c>
      <c r="E14" s="284">
        <v>2015</v>
      </c>
      <c r="F14" s="284">
        <v>2016</v>
      </c>
      <c r="G14" s="284">
        <v>2017</v>
      </c>
      <c r="H14" s="424">
        <v>2018</v>
      </c>
      <c r="I14" s="284">
        <v>2019</v>
      </c>
      <c r="J14" s="284">
        <v>2020</v>
      </c>
      <c r="K14" s="672">
        <v>2021</v>
      </c>
      <c r="L14" s="670">
        <v>2022</v>
      </c>
    </row>
    <row r="15" spans="1:13" ht="15.75" customHeight="1" outlineLevel="1" x14ac:dyDescent="0.25">
      <c r="A15" s="288" t="s">
        <v>63</v>
      </c>
      <c r="B15" s="701"/>
      <c r="C15" s="652"/>
      <c r="D15" s="652"/>
      <c r="E15" s="652"/>
      <c r="F15" s="652"/>
      <c r="G15" s="652"/>
      <c r="H15" s="653"/>
      <c r="I15" s="649"/>
      <c r="J15" s="650"/>
      <c r="K15" s="671"/>
      <c r="L15" s="651"/>
    </row>
    <row r="16" spans="1:13" ht="15" outlineLevel="1" x14ac:dyDescent="0.25">
      <c r="A16" s="703" t="s">
        <v>4</v>
      </c>
      <c r="B16" s="713">
        <f>SUM(C16:L16)/10</f>
        <v>0</v>
      </c>
      <c r="C16" s="705">
        <v>0</v>
      </c>
      <c r="D16" s="705">
        <v>0</v>
      </c>
      <c r="E16" s="709">
        <v>0</v>
      </c>
      <c r="F16" s="705">
        <v>0</v>
      </c>
      <c r="G16" s="705">
        <v>0</v>
      </c>
      <c r="H16" s="714">
        <v>0</v>
      </c>
      <c r="I16" s="709">
        <v>0</v>
      </c>
      <c r="J16" s="709">
        <f>BEaH20!AB14</f>
        <v>0</v>
      </c>
      <c r="K16" s="715">
        <f>BEaH21!AB14</f>
        <v>0</v>
      </c>
      <c r="L16" s="710">
        <f>BEaH22!AB14</f>
        <v>0</v>
      </c>
    </row>
    <row r="17" spans="1:13" ht="15" outlineLevel="1" x14ac:dyDescent="0.25">
      <c r="A17" s="244" t="s">
        <v>5</v>
      </c>
      <c r="B17" s="486">
        <f t="shared" ref="B17:B27" si="1">SUM(C17:L17)/10</f>
        <v>0.28384610004194338</v>
      </c>
      <c r="C17" s="246">
        <v>0.13755158184319119</v>
      </c>
      <c r="D17" s="246">
        <v>0</v>
      </c>
      <c r="E17" s="347">
        <v>0.23501762632197415</v>
      </c>
      <c r="F17" s="246">
        <v>0.11337868480725624</v>
      </c>
      <c r="G17" s="246">
        <v>0.22624434389140272</v>
      </c>
      <c r="H17" s="406">
        <v>0.69582504970178927</v>
      </c>
      <c r="I17" s="347">
        <v>0.48732943469785572</v>
      </c>
      <c r="J17" s="397">
        <f>BEaH20!AB15</f>
        <v>0.19193857965451055</v>
      </c>
      <c r="K17" s="645">
        <f>BEaH21!AB15</f>
        <v>0.18832391713747645</v>
      </c>
      <c r="L17" s="398">
        <f>BEaH22!AB15</f>
        <v>0.56285178236397748</v>
      </c>
    </row>
    <row r="18" spans="1:13" ht="15" outlineLevel="1" x14ac:dyDescent="0.25">
      <c r="A18" s="365" t="s">
        <v>6</v>
      </c>
      <c r="B18" s="486">
        <f t="shared" si="1"/>
        <v>0.42890495153253827</v>
      </c>
      <c r="C18" s="366">
        <v>0.40322580645161288</v>
      </c>
      <c r="D18" s="366">
        <v>0</v>
      </c>
      <c r="E18" s="367">
        <v>1.2195121951219512</v>
      </c>
      <c r="F18" s="366">
        <v>0.42553191489361702</v>
      </c>
      <c r="G18" s="366">
        <v>0</v>
      </c>
      <c r="H18" s="406">
        <v>1.3100436681222707</v>
      </c>
      <c r="I18" s="347">
        <v>0.47619047619047616</v>
      </c>
      <c r="J18" s="397">
        <f>BEaH20!AB16</f>
        <v>0</v>
      </c>
      <c r="K18" s="347">
        <f>BEaH21!AB16</f>
        <v>0.45454545454545453</v>
      </c>
      <c r="L18" s="398">
        <f>BEaH22!AB16</f>
        <v>0</v>
      </c>
    </row>
    <row r="19" spans="1:13" ht="15" outlineLevel="1" x14ac:dyDescent="0.25">
      <c r="A19" s="254" t="s">
        <v>7</v>
      </c>
      <c r="B19" s="486">
        <f t="shared" si="1"/>
        <v>0.29678222767755197</v>
      </c>
      <c r="C19" s="246">
        <v>1.3245033112582782</v>
      </c>
      <c r="D19" s="246">
        <v>0</v>
      </c>
      <c r="E19" s="397">
        <v>0</v>
      </c>
      <c r="F19" s="246">
        <v>0</v>
      </c>
      <c r="G19" s="246">
        <v>0</v>
      </c>
      <c r="H19" s="409">
        <v>0</v>
      </c>
      <c r="I19" s="397">
        <v>0.78125</v>
      </c>
      <c r="J19" s="397">
        <f>BEaH20!AB17</f>
        <v>0</v>
      </c>
      <c r="K19" s="397">
        <f>BEaH21!AB17</f>
        <v>0.86206896551724133</v>
      </c>
      <c r="L19" s="398">
        <f>BEaH22!AB17</f>
        <v>0</v>
      </c>
    </row>
    <row r="20" spans="1:13" ht="15" outlineLevel="1" x14ac:dyDescent="0.25">
      <c r="A20" s="254" t="s">
        <v>8</v>
      </c>
      <c r="B20" s="486">
        <f t="shared" si="1"/>
        <v>0.75</v>
      </c>
      <c r="C20" s="246">
        <v>0</v>
      </c>
      <c r="D20" s="246">
        <v>0</v>
      </c>
      <c r="E20" s="397">
        <v>0</v>
      </c>
      <c r="F20" s="246">
        <v>3.3333333333333335</v>
      </c>
      <c r="G20" s="246">
        <v>0</v>
      </c>
      <c r="H20" s="409">
        <v>0</v>
      </c>
      <c r="I20" s="397">
        <v>4.166666666666667</v>
      </c>
      <c r="J20" s="397">
        <f>BEaH20!AB18</f>
        <v>0</v>
      </c>
      <c r="K20" s="397">
        <f>BEaH21!AB18</f>
        <v>0</v>
      </c>
      <c r="L20" s="398">
        <f>BEaH22!AB18</f>
        <v>0</v>
      </c>
    </row>
    <row r="21" spans="1:13" ht="15" outlineLevel="1" x14ac:dyDescent="0.25">
      <c r="A21" s="716" t="s">
        <v>9</v>
      </c>
      <c r="B21" s="713">
        <f t="shared" si="1"/>
        <v>0.18867924528301888</v>
      </c>
      <c r="C21" s="705">
        <v>0</v>
      </c>
      <c r="D21" s="705">
        <v>0</v>
      </c>
      <c r="E21" s="709">
        <v>0</v>
      </c>
      <c r="F21" s="705">
        <v>0</v>
      </c>
      <c r="G21" s="705">
        <v>0</v>
      </c>
      <c r="H21" s="714">
        <v>0</v>
      </c>
      <c r="I21" s="709">
        <v>0</v>
      </c>
      <c r="J21" s="709">
        <f>BEaH20!AB19</f>
        <v>0</v>
      </c>
      <c r="K21" s="709">
        <f>BEaH21!AB19</f>
        <v>1.8867924528301887</v>
      </c>
      <c r="L21" s="710">
        <f>BEaH22!AB19</f>
        <v>0</v>
      </c>
    </row>
    <row r="22" spans="1:13" ht="15" outlineLevel="1" x14ac:dyDescent="0.25">
      <c r="A22" s="254" t="s">
        <v>10</v>
      </c>
      <c r="B22" s="486">
        <f t="shared" si="1"/>
        <v>0.29411764705882354</v>
      </c>
      <c r="C22" s="246">
        <v>0</v>
      </c>
      <c r="D22" s="246">
        <v>0</v>
      </c>
      <c r="E22" s="397">
        <v>0</v>
      </c>
      <c r="F22" s="246">
        <v>0</v>
      </c>
      <c r="G22" s="246">
        <v>0</v>
      </c>
      <c r="H22" s="409">
        <v>0</v>
      </c>
      <c r="I22" s="397">
        <v>0</v>
      </c>
      <c r="J22" s="397">
        <f>BEaH20!AB20</f>
        <v>2.9411764705882355</v>
      </c>
      <c r="K22" s="397">
        <f>BEaH21!AB20</f>
        <v>0</v>
      </c>
      <c r="L22" s="398">
        <f>BEaH22!AB20</f>
        <v>0</v>
      </c>
    </row>
    <row r="23" spans="1:13" ht="15" outlineLevel="1" x14ac:dyDescent="0.25">
      <c r="A23" s="244" t="s">
        <v>11</v>
      </c>
      <c r="B23" s="486">
        <f t="shared" si="1"/>
        <v>0.54708018900082833</v>
      </c>
      <c r="C23" s="246">
        <v>0.36630036630036628</v>
      </c>
      <c r="D23" s="246">
        <v>0</v>
      </c>
      <c r="E23" s="347">
        <v>0.92879256965944268</v>
      </c>
      <c r="F23" s="246">
        <v>0.54495912806539515</v>
      </c>
      <c r="G23" s="246">
        <v>0.26881720430107525</v>
      </c>
      <c r="H23" s="406">
        <v>0.7142857142857143</v>
      </c>
      <c r="I23" s="347">
        <v>0.24096385542168675</v>
      </c>
      <c r="J23" s="397">
        <f>BEaH20!AB21</f>
        <v>0.67567567567567566</v>
      </c>
      <c r="K23" s="347">
        <f>BEaH21!AB21</f>
        <v>1.3245033112582782</v>
      </c>
      <c r="L23" s="398">
        <f>BEaH22!AB21</f>
        <v>0.4065040650406504</v>
      </c>
    </row>
    <row r="24" spans="1:13" ht="15" outlineLevel="1" x14ac:dyDescent="0.25">
      <c r="A24" s="244" t="s">
        <v>12</v>
      </c>
      <c r="B24" s="486">
        <f t="shared" si="1"/>
        <v>0.21736713805834756</v>
      </c>
      <c r="C24" s="246">
        <v>6.1330880098129405E-2</v>
      </c>
      <c r="D24" s="246">
        <v>0.10219724067450178</v>
      </c>
      <c r="E24" s="347">
        <v>0.28887000849617672</v>
      </c>
      <c r="F24" s="246">
        <v>0.18985157059026581</v>
      </c>
      <c r="G24" s="246">
        <v>0.1782848992690319</v>
      </c>
      <c r="H24" s="406">
        <v>0.2120686331212647</v>
      </c>
      <c r="I24" s="347">
        <v>0.3777544596012592</v>
      </c>
      <c r="J24" s="397">
        <f>BEaH20!AB22</f>
        <v>0.36062791684344508</v>
      </c>
      <c r="K24" s="347">
        <f>BEaH21!AB22</f>
        <v>0.1953125</v>
      </c>
      <c r="L24" s="398">
        <f>BEaH22!AB22</f>
        <v>0.20737327188940091</v>
      </c>
    </row>
    <row r="25" spans="1:13" ht="15" outlineLevel="1" x14ac:dyDescent="0.25">
      <c r="A25" s="299" t="s">
        <v>13</v>
      </c>
      <c r="B25" s="647">
        <f t="shared" si="1"/>
        <v>1.3612244897959183</v>
      </c>
      <c r="C25" s="295">
        <v>0</v>
      </c>
      <c r="D25" s="295">
        <v>0</v>
      </c>
      <c r="E25" s="351">
        <v>0</v>
      </c>
      <c r="F25" s="295">
        <v>8</v>
      </c>
      <c r="G25" s="295">
        <v>3.5714285714285716</v>
      </c>
      <c r="H25" s="405">
        <v>0</v>
      </c>
      <c r="I25" s="351">
        <v>0</v>
      </c>
      <c r="J25" s="351">
        <f>BEaH20!AB23</f>
        <v>0</v>
      </c>
      <c r="K25" s="351">
        <f>BEaH21!AB23</f>
        <v>0</v>
      </c>
      <c r="L25" s="399">
        <f>BEaH22!AB23</f>
        <v>2.0408163265306123</v>
      </c>
    </row>
    <row r="26" spans="1:13" ht="30.75" thickBot="1" x14ac:dyDescent="0.3">
      <c r="A26" s="287" t="s">
        <v>78</v>
      </c>
      <c r="B26" s="487">
        <f t="shared" si="1"/>
        <v>0.23326104122813152</v>
      </c>
      <c r="C26" s="420">
        <v>0.41450777202072536</v>
      </c>
      <c r="D26" s="420">
        <v>5.5772448410485218E-2</v>
      </c>
      <c r="E26" s="421">
        <v>0</v>
      </c>
      <c r="F26" s="420">
        <v>0.10395010395010396</v>
      </c>
      <c r="G26" s="420">
        <v>4.2052144659377629E-2</v>
      </c>
      <c r="H26" s="554">
        <v>0.45682960255824578</v>
      </c>
      <c r="I26" s="421">
        <v>0.35971223021582732</v>
      </c>
      <c r="J26" s="401">
        <f>BEaH20!AB24</f>
        <v>0.59701492537313428</v>
      </c>
      <c r="K26" s="348">
        <f>BEaH21!AB24</f>
        <v>0.16985138004246284</v>
      </c>
      <c r="L26" s="634">
        <f>BEaH22!AB24</f>
        <v>0.13291980505095261</v>
      </c>
    </row>
    <row r="27" spans="1:13" ht="15.75" outlineLevel="1" thickBot="1" x14ac:dyDescent="0.3">
      <c r="A27" s="432" t="s">
        <v>22</v>
      </c>
      <c r="B27" s="665">
        <f t="shared" si="1"/>
        <v>0.25197518981042166</v>
      </c>
      <c r="C27" s="256">
        <v>0.16757023164120255</v>
      </c>
      <c r="D27" s="256">
        <v>7.4555330706145492E-2</v>
      </c>
      <c r="E27" s="350">
        <v>0.2606610363882807</v>
      </c>
      <c r="F27" s="256">
        <v>0.20774903916069387</v>
      </c>
      <c r="G27" s="256">
        <v>0.15192950470981464</v>
      </c>
      <c r="H27" s="410">
        <v>0.36047497879558948</v>
      </c>
      <c r="I27" s="350">
        <v>0.38867295946696279</v>
      </c>
      <c r="J27" s="478">
        <f>BEaH20!AB25</f>
        <v>0.40677220756376431</v>
      </c>
      <c r="K27" s="350">
        <f>BEaH21!AB25</f>
        <v>0.26434629364467455</v>
      </c>
      <c r="L27" s="638">
        <f>BEaH22!AB25</f>
        <v>0.23702031602708803</v>
      </c>
    </row>
    <row r="28" spans="1:13" ht="15.75" outlineLevel="1" thickBot="1" x14ac:dyDescent="0.3">
      <c r="A28" s="277"/>
      <c r="B28" s="250"/>
      <c r="C28" s="250"/>
      <c r="D28" s="249"/>
      <c r="E28" s="249"/>
      <c r="F28" s="250"/>
      <c r="G28" s="250"/>
      <c r="H28" s="250"/>
      <c r="I28" s="250"/>
      <c r="J28" s="250"/>
      <c r="K28" s="250"/>
      <c r="L28" s="570"/>
      <c r="M28" s="218"/>
    </row>
    <row r="29" spans="1:13" ht="57" outlineLevel="1" thickBot="1" x14ac:dyDescent="0.25">
      <c r="A29" s="711" t="s">
        <v>74</v>
      </c>
      <c r="B29" s="484" t="s">
        <v>81</v>
      </c>
      <c r="C29" s="778" t="s">
        <v>82</v>
      </c>
      <c r="D29" s="779"/>
      <c r="E29" s="779"/>
      <c r="F29" s="779"/>
      <c r="G29" s="779"/>
      <c r="H29" s="779"/>
      <c r="I29" s="779"/>
      <c r="J29" s="779"/>
      <c r="K29" s="779"/>
      <c r="L29" s="780"/>
    </row>
    <row r="30" spans="1:13" ht="34.5" customHeight="1" outlineLevel="1" thickBot="1" x14ac:dyDescent="0.3">
      <c r="A30" s="242"/>
      <c r="B30" s="485" t="s">
        <v>76</v>
      </c>
      <c r="C30" s="284">
        <v>2013</v>
      </c>
      <c r="D30" s="284">
        <v>2014</v>
      </c>
      <c r="E30" s="284">
        <v>2015</v>
      </c>
      <c r="F30" s="284">
        <v>2016</v>
      </c>
      <c r="G30" s="284">
        <v>2017</v>
      </c>
      <c r="H30" s="424">
        <v>2018</v>
      </c>
      <c r="I30" s="284">
        <v>2019</v>
      </c>
      <c r="J30" s="386">
        <v>2020</v>
      </c>
      <c r="K30" s="386">
        <v>2021</v>
      </c>
      <c r="L30" s="285">
        <v>2022</v>
      </c>
    </row>
    <row r="31" spans="1:13" ht="15" outlineLevel="1" x14ac:dyDescent="0.25">
      <c r="A31" s="430" t="s">
        <v>64</v>
      </c>
      <c r="B31" s="702"/>
      <c r="C31" s="648"/>
      <c r="D31" s="648"/>
      <c r="E31" s="648"/>
      <c r="F31" s="648"/>
      <c r="G31" s="648">
        <v>0</v>
      </c>
      <c r="H31" s="662"/>
      <c r="I31" s="663"/>
      <c r="J31" s="650"/>
      <c r="K31" s="650"/>
      <c r="L31" s="661"/>
    </row>
    <row r="32" spans="1:13" ht="15" outlineLevel="1" x14ac:dyDescent="0.25">
      <c r="A32" s="291" t="s">
        <v>15</v>
      </c>
      <c r="B32" s="486">
        <f>SUM(C32:L32)/10</f>
        <v>3.2693199013048804E-2</v>
      </c>
      <c r="C32" s="246">
        <v>5.1285338803769474E-2</v>
      </c>
      <c r="D32" s="246">
        <v>2.6849241508927372E-2</v>
      </c>
      <c r="E32" s="347">
        <v>4.6055661556681358E-2</v>
      </c>
      <c r="F32" s="246">
        <v>2.6246719160104987E-2</v>
      </c>
      <c r="G32" s="246">
        <v>6.70555890833501E-3</v>
      </c>
      <c r="H32" s="406">
        <v>2.0345879959308241E-2</v>
      </c>
      <c r="I32" s="406">
        <v>3.5493717611982681E-2</v>
      </c>
      <c r="J32" s="406">
        <f>BEaH20!AB28</f>
        <v>4.2235675066873153E-2</v>
      </c>
      <c r="K32" s="406">
        <f>BEaH21!AB28</f>
        <v>3.5268392466671371E-2</v>
      </c>
      <c r="L32" s="667">
        <f>BEaH22!AB28</f>
        <v>3.644580508783439E-2</v>
      </c>
    </row>
    <row r="33" spans="1:13" ht="15" outlineLevel="1" x14ac:dyDescent="0.25">
      <c r="A33" s="291" t="s">
        <v>16</v>
      </c>
      <c r="B33" s="486">
        <f t="shared" ref="B33:B41" si="2">SUM(C33:L33)/10</f>
        <v>0.13871701811050038</v>
      </c>
      <c r="C33" s="246">
        <v>0.19400089538874796</v>
      </c>
      <c r="D33" s="246">
        <v>0.19233851578778649</v>
      </c>
      <c r="E33" s="397">
        <v>0.29869517371482474</v>
      </c>
      <c r="F33" s="246">
        <v>6.1776061776061778E-2</v>
      </c>
      <c r="G33" s="246">
        <v>6.2853551225644247E-2</v>
      </c>
      <c r="H33" s="409">
        <v>0.1272264631043257</v>
      </c>
      <c r="I33" s="406">
        <v>8.6014106313435409E-2</v>
      </c>
      <c r="J33" s="406">
        <f>BEaH20!AB29</f>
        <v>0.11900714042842571</v>
      </c>
      <c r="K33" s="406">
        <f>BEaH21!AB29</f>
        <v>0.13891300573016149</v>
      </c>
      <c r="L33" s="667">
        <f>BEaH22!AB29</f>
        <v>0.10634526763559021</v>
      </c>
    </row>
    <row r="34" spans="1:13" ht="15" outlineLevel="1" x14ac:dyDescent="0.25">
      <c r="A34" s="291" t="s">
        <v>35</v>
      </c>
      <c r="B34" s="486">
        <f t="shared" si="2"/>
        <v>5.1416462395242127E-2</v>
      </c>
      <c r="C34" s="246">
        <v>6.2800921080175848E-2</v>
      </c>
      <c r="D34" s="246">
        <v>6.3104753891459822E-2</v>
      </c>
      <c r="E34" s="397">
        <v>6.3398140321217239E-2</v>
      </c>
      <c r="F34" s="246">
        <v>6.0716454159077109E-2</v>
      </c>
      <c r="G34" s="246">
        <v>2.1043771043771045E-2</v>
      </c>
      <c r="H34" s="409">
        <v>0.12881064834693001</v>
      </c>
      <c r="I34" s="406">
        <v>0</v>
      </c>
      <c r="J34" s="406">
        <f>BEaH20!AB30</f>
        <v>6.7582788916422623E-2</v>
      </c>
      <c r="K34" s="406">
        <f>BEaH21!AB30</f>
        <v>0</v>
      </c>
      <c r="L34" s="667">
        <f>BEaH22!AB30</f>
        <v>4.6707146193367584E-2</v>
      </c>
    </row>
    <row r="35" spans="1:13" ht="15" outlineLevel="1" x14ac:dyDescent="0.25">
      <c r="A35" s="291" t="s">
        <v>17</v>
      </c>
      <c r="B35" s="486">
        <f t="shared" si="2"/>
        <v>2.6562337071340737E-2</v>
      </c>
      <c r="C35" s="246">
        <v>3.2425421530479899E-2</v>
      </c>
      <c r="D35" s="246">
        <v>2.1124422850589974E-2</v>
      </c>
      <c r="E35" s="397">
        <v>2.3707215883834641E-2</v>
      </c>
      <c r="F35" s="246">
        <v>3.2350086757050846E-2</v>
      </c>
      <c r="G35" s="246">
        <v>2.1564338744955485E-2</v>
      </c>
      <c r="H35" s="409">
        <v>1.8428650408501751E-2</v>
      </c>
      <c r="I35" s="406">
        <v>2.906413485758574E-2</v>
      </c>
      <c r="J35" s="406">
        <f>BEaH20!AB31</f>
        <v>2.8835987312165582E-2</v>
      </c>
      <c r="K35" s="406">
        <f>BEaH21!AB31</f>
        <v>3.1650577623041617E-2</v>
      </c>
      <c r="L35" s="667">
        <f>BEaH22!AB31</f>
        <v>2.6472534745201854E-2</v>
      </c>
      <c r="M35" s="2"/>
    </row>
    <row r="36" spans="1:13" ht="15" outlineLevel="1" x14ac:dyDescent="0.25">
      <c r="A36" s="291" t="s">
        <v>18</v>
      </c>
      <c r="B36" s="486">
        <f t="shared" si="2"/>
        <v>6.037484071365852E-2</v>
      </c>
      <c r="C36" s="252">
        <v>7.8362229405426587E-2</v>
      </c>
      <c r="D36" s="252">
        <v>5.3435930319546861E-2</v>
      </c>
      <c r="E36" s="397">
        <v>6.9735006973500699E-2</v>
      </c>
      <c r="F36" s="252">
        <v>6.4356966641638952E-2</v>
      </c>
      <c r="G36" s="252">
        <v>0.10873110796999022</v>
      </c>
      <c r="H36" s="409">
        <v>5.6268287193337832E-2</v>
      </c>
      <c r="I36" s="406">
        <v>3.8789759503491075E-2</v>
      </c>
      <c r="J36" s="406">
        <f>BEaH20!AB32</f>
        <v>2.5536261491317672E-2</v>
      </c>
      <c r="K36" s="406">
        <f>BEaH21!AB32</f>
        <v>9.5340245501132168E-2</v>
      </c>
      <c r="L36" s="667">
        <f>BEaH22!AB32</f>
        <v>1.3192612137203167E-2</v>
      </c>
    </row>
    <row r="37" spans="1:13" ht="15" outlineLevel="1" x14ac:dyDescent="0.25">
      <c r="A37" s="291" t="s">
        <v>19</v>
      </c>
      <c r="B37" s="486">
        <f t="shared" si="2"/>
        <v>0.12514199765163248</v>
      </c>
      <c r="C37" s="252">
        <v>7.5251015888714495E-2</v>
      </c>
      <c r="D37" s="252">
        <v>0.12219506776271939</v>
      </c>
      <c r="E37" s="397">
        <v>0.13980885150466413</v>
      </c>
      <c r="F37" s="252">
        <v>0.1070298089404049</v>
      </c>
      <c r="G37" s="252">
        <v>0.11551345731777753</v>
      </c>
      <c r="H37" s="409">
        <v>9.8877039338936365E-2</v>
      </c>
      <c r="I37" s="406">
        <v>0.1637650852838175</v>
      </c>
      <c r="J37" s="406">
        <f>BEaH20!AB33</f>
        <v>0.13246007800426815</v>
      </c>
      <c r="K37" s="406">
        <f>BEaH21!AB33</f>
        <v>0.16691163648140306</v>
      </c>
      <c r="L37" s="667">
        <f>BEaH22!AB33</f>
        <v>0.12960793599361931</v>
      </c>
    </row>
    <row r="38" spans="1:13" ht="15" x14ac:dyDescent="0.25">
      <c r="A38" s="291" t="s">
        <v>20</v>
      </c>
      <c r="B38" s="486">
        <f t="shared" si="2"/>
        <v>8.5288842313183511E-2</v>
      </c>
      <c r="C38" s="252">
        <v>0.100647016534867</v>
      </c>
      <c r="D38" s="252">
        <v>7.1593102160244046E-2</v>
      </c>
      <c r="E38" s="397">
        <v>9.5627227679735721E-2</v>
      </c>
      <c r="F38" s="252">
        <v>5.8856419763985757E-2</v>
      </c>
      <c r="G38" s="252">
        <v>6.3013777103084812E-2</v>
      </c>
      <c r="H38" s="409">
        <v>8.2435376553023618E-2</v>
      </c>
      <c r="I38" s="406">
        <v>9.8240874343781662E-2</v>
      </c>
      <c r="J38" s="406">
        <f>BEaH20!AB34</f>
        <v>5.3580996606536882E-2</v>
      </c>
      <c r="K38" s="406">
        <f>BEaH21!AB34</f>
        <v>0.10904482626506734</v>
      </c>
      <c r="L38" s="667">
        <f>BEaH22!AB34</f>
        <v>0.11984880612150825</v>
      </c>
    </row>
    <row r="39" spans="1:13" ht="15" x14ac:dyDescent="0.25">
      <c r="A39" s="304" t="s">
        <v>25</v>
      </c>
      <c r="B39" s="647">
        <f t="shared" si="2"/>
        <v>0.20321664996412184</v>
      </c>
      <c r="C39" s="664">
        <v>0</v>
      </c>
      <c r="D39" s="664">
        <v>0.78431372549019607</v>
      </c>
      <c r="E39" s="351">
        <v>8.3662005497788933E-2</v>
      </c>
      <c r="F39" s="664">
        <v>0.21141649048625794</v>
      </c>
      <c r="G39" s="664">
        <v>0.11876484560570071</v>
      </c>
      <c r="H39" s="405">
        <v>0.10460251046025104</v>
      </c>
      <c r="I39" s="405">
        <v>0.45180722891566266</v>
      </c>
      <c r="J39" s="405">
        <f>BEaH20!AB35</f>
        <v>7.6394194041252861E-2</v>
      </c>
      <c r="K39" s="405">
        <f>BEaH21!AB35</f>
        <v>5.3276505061267979E-2</v>
      </c>
      <c r="L39" s="668">
        <f>BEaH22!AB35</f>
        <v>0.14792899408284024</v>
      </c>
    </row>
    <row r="40" spans="1:13" ht="15.75" thickBot="1" x14ac:dyDescent="0.3">
      <c r="A40" s="292" t="s">
        <v>26</v>
      </c>
      <c r="B40" s="487">
        <f t="shared" si="2"/>
        <v>9.2541193245492273E-2</v>
      </c>
      <c r="C40" s="289">
        <v>6.6928950554055316E-2</v>
      </c>
      <c r="D40" s="289">
        <v>6.867484083942467E-2</v>
      </c>
      <c r="E40" s="401">
        <v>7.5671585319712451E-2</v>
      </c>
      <c r="F40" s="289">
        <v>7.8431171520770157E-2</v>
      </c>
      <c r="G40" s="289">
        <v>9.7201348855641037E-2</v>
      </c>
      <c r="H40" s="431">
        <v>0.10352874688804767</v>
      </c>
      <c r="I40" s="407">
        <v>0.11252547689078195</v>
      </c>
      <c r="J40" s="407">
        <f>BEaH20!AB36</f>
        <v>0.11367738124815421</v>
      </c>
      <c r="K40" s="407">
        <f>BEaH21!AB36</f>
        <v>0.11060144151269743</v>
      </c>
      <c r="L40" s="666">
        <f>BEaH22!AB36</f>
        <v>9.8170988825637781E-2</v>
      </c>
      <c r="M40" s="2"/>
    </row>
    <row r="41" spans="1:13" ht="15.75" thickBot="1" x14ac:dyDescent="0.3">
      <c r="A41" s="428" t="s">
        <v>22</v>
      </c>
      <c r="B41" s="665">
        <f t="shared" si="2"/>
        <v>8.9120365025980169E-2</v>
      </c>
      <c r="C41" s="429">
        <v>6.9102235044301991E-2</v>
      </c>
      <c r="D41" s="429">
        <v>7.0919646391344501E-2</v>
      </c>
      <c r="E41" s="349">
        <v>8.0710708946952606E-2</v>
      </c>
      <c r="F41" s="429">
        <v>7.465181058495822E-2</v>
      </c>
      <c r="G41" s="429">
        <v>8.8693252742920961E-2</v>
      </c>
      <c r="H41" s="408">
        <v>9.4406249549588497E-2</v>
      </c>
      <c r="I41" s="410">
        <v>0.10685738479839146</v>
      </c>
      <c r="J41" s="577">
        <f>BEaH20!AB37</f>
        <v>0.10337771211869529</v>
      </c>
      <c r="K41" s="669">
        <f>BEaH21!AB37</f>
        <v>0.10741746757907675</v>
      </c>
      <c r="L41" s="673">
        <f>BEaH22!AB37</f>
        <v>9.5067182503571379E-2</v>
      </c>
    </row>
    <row r="42" spans="1:13" x14ac:dyDescent="0.2">
      <c r="L42" s="161"/>
    </row>
  </sheetData>
  <mergeCells count="5">
    <mergeCell ref="A1:L1"/>
    <mergeCell ref="A2:L2"/>
    <mergeCell ref="C3:L3"/>
    <mergeCell ref="C13:L13"/>
    <mergeCell ref="C29:L29"/>
  </mergeCells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B1:V10"/>
  <sheetViews>
    <sheetView topLeftCell="B4" zoomScale="110" zoomScaleNormal="110" workbookViewId="0">
      <selection activeCell="B14" sqref="B14"/>
    </sheetView>
  </sheetViews>
  <sheetFormatPr baseColWidth="10" defaultColWidth="11.42578125" defaultRowHeight="12.75" x14ac:dyDescent="0.2"/>
  <cols>
    <col min="1" max="16384" width="11.42578125" style="259"/>
  </cols>
  <sheetData>
    <row r="1" spans="2:22" ht="13.5" thickBot="1" x14ac:dyDescent="0.25">
      <c r="D1" s="259" t="s">
        <v>92</v>
      </c>
    </row>
    <row r="2" spans="2:22" x14ac:dyDescent="0.2">
      <c r="B2" s="437"/>
      <c r="C2" s="438">
        <v>2003</v>
      </c>
      <c r="D2" s="438">
        <v>2004</v>
      </c>
      <c r="E2" s="438">
        <v>2005</v>
      </c>
      <c r="F2" s="438">
        <v>2006</v>
      </c>
      <c r="G2" s="392">
        <v>2007</v>
      </c>
      <c r="H2" s="392">
        <v>2008</v>
      </c>
      <c r="I2" s="392">
        <v>2009</v>
      </c>
      <c r="J2" s="392">
        <v>2010</v>
      </c>
      <c r="K2" s="392">
        <v>2011</v>
      </c>
      <c r="L2" s="392">
        <v>2012</v>
      </c>
      <c r="M2" s="392">
        <v>2013</v>
      </c>
      <c r="N2" s="392">
        <v>2014</v>
      </c>
      <c r="O2" s="392">
        <v>2015</v>
      </c>
      <c r="P2" s="392">
        <v>2016</v>
      </c>
      <c r="Q2" s="392">
        <v>2017</v>
      </c>
      <c r="R2" s="392">
        <v>2018</v>
      </c>
      <c r="S2" s="457">
        <v>2019</v>
      </c>
      <c r="T2" s="392">
        <v>2020</v>
      </c>
      <c r="U2" s="392">
        <v>2021</v>
      </c>
      <c r="V2" s="578">
        <v>2022</v>
      </c>
    </row>
    <row r="3" spans="2:22" ht="13.5" thickBot="1" x14ac:dyDescent="0.25">
      <c r="B3" s="440" t="s">
        <v>93</v>
      </c>
      <c r="C3" s="441">
        <v>11235</v>
      </c>
      <c r="D3" s="441">
        <v>11097</v>
      </c>
      <c r="E3" s="441">
        <v>10721</v>
      </c>
      <c r="F3" s="441">
        <v>12431</v>
      </c>
      <c r="G3" s="442">
        <v>12023</v>
      </c>
      <c r="H3" s="442">
        <v>11927</v>
      </c>
      <c r="I3" s="442">
        <v>10202</v>
      </c>
      <c r="J3" s="352">
        <v>10063</v>
      </c>
      <c r="K3" s="352">
        <v>9346</v>
      </c>
      <c r="L3" s="352">
        <v>8583</v>
      </c>
      <c r="M3" s="352">
        <f>BEaH13!G11</f>
        <v>8015</v>
      </c>
      <c r="N3" s="441">
        <f>BEaH14!G11</f>
        <v>7252</v>
      </c>
      <c r="O3" s="352">
        <f>BEaH15!G11</f>
        <v>7289</v>
      </c>
      <c r="P3" s="352">
        <f>BEaH16!G11</f>
        <v>7377</v>
      </c>
      <c r="Q3" s="441">
        <f>BEaH17!G11</f>
        <v>7311</v>
      </c>
      <c r="R3" s="441">
        <f>BEaH18!G11</f>
        <v>6617</v>
      </c>
      <c r="S3" s="555">
        <f>BEaH19!G11</f>
        <v>6225</v>
      </c>
      <c r="T3" s="441">
        <f>BEaH20!G11</f>
        <v>6463</v>
      </c>
      <c r="U3" s="674">
        <f>BEaH21!G11</f>
        <v>6508</v>
      </c>
      <c r="V3" s="579">
        <f>BEaH22!G11</f>
        <v>6175</v>
      </c>
    </row>
    <row r="4" spans="2:22" x14ac:dyDescent="0.2">
      <c r="B4" s="268"/>
      <c r="C4" s="435"/>
      <c r="D4" s="435"/>
      <c r="E4" s="435"/>
      <c r="F4" s="435"/>
      <c r="G4" s="269"/>
      <c r="H4" s="269"/>
      <c r="I4" s="269"/>
      <c r="J4" s="267"/>
      <c r="K4" s="268"/>
      <c r="L4" s="268"/>
      <c r="M4" s="268"/>
      <c r="N4" s="268"/>
      <c r="O4" s="268"/>
      <c r="P4" s="268"/>
      <c r="Q4" s="268"/>
      <c r="R4" s="268"/>
    </row>
    <row r="5" spans="2:22" x14ac:dyDescent="0.2">
      <c r="B5" s="268"/>
      <c r="C5" s="435"/>
      <c r="D5" s="435"/>
      <c r="E5" s="435"/>
      <c r="F5" s="435"/>
      <c r="G5" s="436"/>
      <c r="H5" s="270"/>
      <c r="I5" s="270"/>
      <c r="J5" s="271"/>
      <c r="K5" s="268"/>
      <c r="L5" s="268"/>
      <c r="M5" s="268"/>
      <c r="N5" s="268"/>
      <c r="O5" s="268"/>
      <c r="P5" s="268"/>
      <c r="Q5" s="268"/>
      <c r="R5" s="268"/>
    </row>
    <row r="6" spans="2:22" x14ac:dyDescent="0.2">
      <c r="B6" s="268"/>
      <c r="C6" s="435"/>
      <c r="D6" s="435"/>
      <c r="E6" s="435"/>
      <c r="F6" s="435"/>
      <c r="G6" s="269"/>
      <c r="H6" s="269"/>
      <c r="I6" s="270"/>
      <c r="J6" s="267"/>
      <c r="K6" s="268"/>
      <c r="L6" s="268"/>
      <c r="M6" s="268"/>
      <c r="N6" s="268"/>
      <c r="O6" s="268"/>
      <c r="P6" s="268"/>
      <c r="Q6" s="268"/>
      <c r="R6" s="268"/>
    </row>
    <row r="7" spans="2:22" x14ac:dyDescent="0.2">
      <c r="B7" s="268"/>
      <c r="C7" s="435"/>
      <c r="D7" s="435"/>
      <c r="E7" s="435"/>
      <c r="F7" s="435"/>
      <c r="G7" s="269"/>
      <c r="H7" s="269"/>
      <c r="I7" s="270"/>
      <c r="J7" s="267"/>
      <c r="K7" s="268"/>
      <c r="L7" s="268"/>
      <c r="M7" s="268"/>
      <c r="N7" s="268"/>
      <c r="O7" s="268"/>
      <c r="P7" s="268"/>
      <c r="Q7" s="268"/>
      <c r="R7" s="268"/>
    </row>
    <row r="8" spans="2:22" x14ac:dyDescent="0.2"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</row>
    <row r="10" spans="2:22" x14ac:dyDescent="0.2">
      <c r="K10" s="259" t="s">
        <v>71</v>
      </c>
    </row>
  </sheetData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pageSetUpPr fitToPage="1"/>
  </sheetPr>
  <dimension ref="A1:AJ46"/>
  <sheetViews>
    <sheetView workbookViewId="0">
      <selection activeCell="E37" sqref="E37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331" customFormat="1" ht="18" x14ac:dyDescent="0.25">
      <c r="A1" s="730" t="s">
        <v>113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331" customFormat="1" ht="9" customHeight="1" thickBot="1" x14ac:dyDescent="0.3"/>
    <row r="3" spans="1:36" ht="65.2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t="s">
        <v>44</v>
      </c>
      <c r="AA3" s="333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332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7" t="s">
        <v>1</v>
      </c>
      <c r="B6" s="22">
        <v>129</v>
      </c>
      <c r="C6" s="22">
        <v>32</v>
      </c>
      <c r="D6" s="22">
        <v>73</v>
      </c>
      <c r="E6" s="22">
        <v>63</v>
      </c>
      <c r="F6" s="22">
        <v>41</v>
      </c>
      <c r="G6" s="121">
        <f>SUM(B6:F6)</f>
        <v>338</v>
      </c>
      <c r="H6" s="44">
        <v>0</v>
      </c>
      <c r="I6" s="45">
        <v>0</v>
      </c>
      <c r="J6" s="45">
        <v>0</v>
      </c>
      <c r="K6" s="45">
        <v>0</v>
      </c>
      <c r="L6" s="334">
        <v>0</v>
      </c>
      <c r="M6" s="335">
        <f>SUM(H6:L6)</f>
        <v>0</v>
      </c>
      <c r="N6" s="77">
        <f>M6*100/G6</f>
        <v>0</v>
      </c>
      <c r="O6" s="45">
        <v>1</v>
      </c>
      <c r="P6" s="45">
        <v>1</v>
      </c>
      <c r="Q6" s="45">
        <v>1</v>
      </c>
      <c r="R6" s="45">
        <v>1</v>
      </c>
      <c r="S6" s="45">
        <v>0</v>
      </c>
      <c r="T6" s="335">
        <f>SUM(O6:S6)</f>
        <v>4</v>
      </c>
      <c r="U6" s="133">
        <f>T6*100/G6</f>
        <v>1.1834319526627219</v>
      </c>
      <c r="V6" s="45">
        <v>0</v>
      </c>
      <c r="W6" s="45">
        <v>0</v>
      </c>
      <c r="X6" s="45">
        <v>0</v>
      </c>
      <c r="Y6" s="45">
        <v>1</v>
      </c>
      <c r="Z6" s="45">
        <v>1</v>
      </c>
      <c r="AA6" s="336">
        <f>SUM(V6:Z6)</f>
        <v>2</v>
      </c>
      <c r="AB6" s="212">
        <f>AA6*100/G6</f>
        <v>0.59171597633136097</v>
      </c>
      <c r="AC6" s="335">
        <v>0</v>
      </c>
      <c r="AD6" s="335">
        <v>0</v>
      </c>
      <c r="AE6" s="335">
        <v>12</v>
      </c>
    </row>
    <row r="7" spans="1:36" ht="15" thickBot="1" x14ac:dyDescent="0.25">
      <c r="A7" s="8" t="s">
        <v>2</v>
      </c>
      <c r="B7" s="22">
        <v>958</v>
      </c>
      <c r="C7" s="22">
        <v>200</v>
      </c>
      <c r="D7" s="22">
        <v>666</v>
      </c>
      <c r="E7" s="22">
        <v>663</v>
      </c>
      <c r="F7" s="22">
        <v>352</v>
      </c>
      <c r="G7" s="121">
        <f>SUM(B7:F7)</f>
        <v>2839</v>
      </c>
      <c r="H7" s="44">
        <v>2</v>
      </c>
      <c r="I7" s="45">
        <v>1</v>
      </c>
      <c r="J7" s="45">
        <v>4</v>
      </c>
      <c r="K7" s="45">
        <v>0</v>
      </c>
      <c r="L7" s="334">
        <v>1</v>
      </c>
      <c r="M7" s="335">
        <f>SUM(H7:L7)</f>
        <v>8</v>
      </c>
      <c r="N7" s="78">
        <f>M7*100/G7</f>
        <v>0.28178936245156744</v>
      </c>
      <c r="O7" s="45">
        <v>8</v>
      </c>
      <c r="P7" s="45">
        <v>0</v>
      </c>
      <c r="Q7" s="45">
        <v>6</v>
      </c>
      <c r="R7" s="45">
        <v>4</v>
      </c>
      <c r="S7" s="45">
        <v>4</v>
      </c>
      <c r="T7" s="335">
        <f>SUM(O7:S7)</f>
        <v>22</v>
      </c>
      <c r="U7" s="92">
        <f>T7*100/G7</f>
        <v>0.77492074674181055</v>
      </c>
      <c r="V7" s="45">
        <v>4</v>
      </c>
      <c r="W7" s="45">
        <v>0</v>
      </c>
      <c r="X7" s="45">
        <v>1</v>
      </c>
      <c r="Y7" s="45">
        <v>0</v>
      </c>
      <c r="Z7" s="45">
        <v>1</v>
      </c>
      <c r="AA7" s="336">
        <f>SUM(V7:Z7)</f>
        <v>6</v>
      </c>
      <c r="AB7" s="92">
        <f>AA7*100/G7</f>
        <v>0.21134202183867559</v>
      </c>
      <c r="AC7" s="335">
        <v>4</v>
      </c>
      <c r="AD7" s="335">
        <v>2</v>
      </c>
      <c r="AE7" s="335">
        <v>53</v>
      </c>
    </row>
    <row r="8" spans="1:36" ht="15" thickBot="1" x14ac:dyDescent="0.25">
      <c r="A8" s="8" t="s">
        <v>14</v>
      </c>
      <c r="B8" s="22">
        <v>98</v>
      </c>
      <c r="C8" s="22">
        <v>46</v>
      </c>
      <c r="D8" s="22">
        <v>81</v>
      </c>
      <c r="E8" s="22">
        <v>116</v>
      </c>
      <c r="F8" s="22">
        <v>43</v>
      </c>
      <c r="G8" s="121">
        <f>SUM(B8:F8)</f>
        <v>384</v>
      </c>
      <c r="H8" s="44">
        <v>0</v>
      </c>
      <c r="I8" s="45">
        <v>0</v>
      </c>
      <c r="J8" s="45">
        <v>0</v>
      </c>
      <c r="K8" s="45">
        <v>0</v>
      </c>
      <c r="L8" s="334">
        <v>0</v>
      </c>
      <c r="M8" s="335">
        <f>SUM(H8:L8)</f>
        <v>0</v>
      </c>
      <c r="N8" s="78">
        <f>M8*100/G8</f>
        <v>0</v>
      </c>
      <c r="O8" s="45">
        <v>0</v>
      </c>
      <c r="P8" s="45">
        <v>0</v>
      </c>
      <c r="Q8" s="45">
        <v>0</v>
      </c>
      <c r="R8" s="45">
        <v>1</v>
      </c>
      <c r="S8" s="45">
        <v>0</v>
      </c>
      <c r="T8" s="335">
        <f>SUM(O8:S8)</f>
        <v>1</v>
      </c>
      <c r="U8" s="92">
        <f t="shared" ref="U8:U43" si="0">T8*100/G8</f>
        <v>0.26041666666666669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336">
        <f>SUM(V8:Z8)</f>
        <v>0</v>
      </c>
      <c r="AB8" s="92">
        <f t="shared" ref="AB8:AB43" si="1">AA8*100/G8</f>
        <v>0</v>
      </c>
      <c r="AC8" s="335">
        <v>0</v>
      </c>
      <c r="AD8" s="335">
        <v>0</v>
      </c>
      <c r="AE8" s="335">
        <v>6</v>
      </c>
    </row>
    <row r="9" spans="1:36" ht="15" thickBot="1" x14ac:dyDescent="0.25">
      <c r="A9" s="9" t="s">
        <v>3</v>
      </c>
      <c r="B9" s="22">
        <v>145</v>
      </c>
      <c r="C9" s="22">
        <v>71</v>
      </c>
      <c r="D9" s="22">
        <v>116</v>
      </c>
      <c r="E9" s="22">
        <v>108</v>
      </c>
      <c r="F9" s="22">
        <v>50</v>
      </c>
      <c r="G9" s="121">
        <f>SUM(B9:F9)</f>
        <v>490</v>
      </c>
      <c r="H9" s="44">
        <v>0</v>
      </c>
      <c r="I9" s="45">
        <v>0</v>
      </c>
      <c r="J9" s="45">
        <v>1</v>
      </c>
      <c r="K9" s="45">
        <v>0</v>
      </c>
      <c r="L9" s="334">
        <v>0</v>
      </c>
      <c r="M9" s="335">
        <f>SUM(H9:L9)</f>
        <v>1</v>
      </c>
      <c r="N9" s="78">
        <f>M9*100/G9</f>
        <v>0.20408163265306123</v>
      </c>
      <c r="O9" s="45">
        <v>0</v>
      </c>
      <c r="P9" s="45">
        <v>0</v>
      </c>
      <c r="Q9" s="45">
        <v>0</v>
      </c>
      <c r="R9" s="45">
        <v>1</v>
      </c>
      <c r="S9" s="45">
        <v>0</v>
      </c>
      <c r="T9" s="335">
        <f>SUM(O9:S9)</f>
        <v>1</v>
      </c>
      <c r="U9" s="92">
        <f t="shared" si="0"/>
        <v>0.20408163265306123</v>
      </c>
      <c r="V9" s="45">
        <v>0</v>
      </c>
      <c r="W9" s="45">
        <v>0</v>
      </c>
      <c r="X9" s="45">
        <v>0</v>
      </c>
      <c r="Y9" s="45">
        <v>0</v>
      </c>
      <c r="Z9" s="45">
        <v>1</v>
      </c>
      <c r="AA9" s="336">
        <f>SUM(V9:Z9)</f>
        <v>1</v>
      </c>
      <c r="AB9" s="92">
        <f t="shared" si="1"/>
        <v>0.20408163265306123</v>
      </c>
      <c r="AC9" s="335">
        <v>0</v>
      </c>
      <c r="AD9" s="335">
        <v>0</v>
      </c>
      <c r="AE9" s="335">
        <v>5</v>
      </c>
    </row>
    <row r="10" spans="1:36" ht="24.75" thickBot="1" x14ac:dyDescent="0.25">
      <c r="A10" s="18" t="s">
        <v>23</v>
      </c>
      <c r="B10" s="22">
        <v>993</v>
      </c>
      <c r="C10" s="22">
        <v>293</v>
      </c>
      <c r="D10" s="22">
        <v>772</v>
      </c>
      <c r="E10" s="22">
        <v>774</v>
      </c>
      <c r="F10" s="22">
        <v>369</v>
      </c>
      <c r="G10" s="121">
        <f>SUM(B10:F10)</f>
        <v>3201</v>
      </c>
      <c r="H10" s="44">
        <v>2</v>
      </c>
      <c r="I10" s="45">
        <v>1</v>
      </c>
      <c r="J10" s="45">
        <v>3</v>
      </c>
      <c r="K10" s="45">
        <v>1</v>
      </c>
      <c r="L10" s="334">
        <v>1</v>
      </c>
      <c r="M10" s="335">
        <f>SUM(H10:L10)</f>
        <v>8</v>
      </c>
      <c r="N10" s="96">
        <f>M10*100/G10</f>
        <v>0.2499218994064355</v>
      </c>
      <c r="O10" s="45">
        <v>2</v>
      </c>
      <c r="P10" s="45">
        <v>4</v>
      </c>
      <c r="Q10" s="45">
        <v>3</v>
      </c>
      <c r="R10" s="45">
        <v>8</v>
      </c>
      <c r="S10" s="45">
        <v>1</v>
      </c>
      <c r="T10" s="84">
        <f>SUM(O10:S10)</f>
        <v>18</v>
      </c>
      <c r="U10" s="143">
        <f t="shared" si="0"/>
        <v>0.5623242736644799</v>
      </c>
      <c r="V10" s="45">
        <v>0</v>
      </c>
      <c r="W10" s="45">
        <v>0</v>
      </c>
      <c r="X10" s="45">
        <v>0</v>
      </c>
      <c r="Y10" s="45">
        <v>0</v>
      </c>
      <c r="Z10" s="45">
        <v>3</v>
      </c>
      <c r="AA10" s="336">
        <f>SUM(V10:Z10)</f>
        <v>3</v>
      </c>
      <c r="AB10" s="93">
        <f t="shared" si="1"/>
        <v>9.3720712277413312E-2</v>
      </c>
      <c r="AC10" s="335">
        <v>4</v>
      </c>
      <c r="AD10" s="335">
        <v>1</v>
      </c>
      <c r="AE10" s="335">
        <v>63</v>
      </c>
    </row>
    <row r="11" spans="1:36" ht="15.75" thickBot="1" x14ac:dyDescent="0.3">
      <c r="A11" s="10" t="s">
        <v>21</v>
      </c>
      <c r="B11" s="24">
        <f>SUM(B6:B10)</f>
        <v>2323</v>
      </c>
      <c r="C11" s="24">
        <f>SUM(C6:C10)</f>
        <v>642</v>
      </c>
      <c r="D11" s="24">
        <f>SUM(D6:D10)</f>
        <v>1708</v>
      </c>
      <c r="E11" s="24">
        <f>SUM(E6:E10)</f>
        <v>1724</v>
      </c>
      <c r="F11" s="24">
        <f>SUM(F6:F10)</f>
        <v>855</v>
      </c>
      <c r="G11" s="122">
        <f t="shared" ref="G11:M11" si="2">SUM(G6:G10)</f>
        <v>7252</v>
      </c>
      <c r="H11" s="122">
        <f t="shared" si="2"/>
        <v>4</v>
      </c>
      <c r="I11" s="122">
        <f t="shared" si="2"/>
        <v>2</v>
      </c>
      <c r="J11" s="122">
        <f t="shared" si="2"/>
        <v>8</v>
      </c>
      <c r="K11" s="122">
        <f t="shared" si="2"/>
        <v>1</v>
      </c>
      <c r="L11" s="122">
        <f t="shared" si="2"/>
        <v>2</v>
      </c>
      <c r="M11" s="337">
        <f t="shared" si="2"/>
        <v>17</v>
      </c>
      <c r="N11" s="118">
        <f t="shared" ref="N11:N43" si="3">M11*100/G11</f>
        <v>0.2344180915609487</v>
      </c>
      <c r="O11" s="119">
        <f t="shared" ref="O11:T11" si="4">SUM(O6:O10)</f>
        <v>11</v>
      </c>
      <c r="P11" s="119">
        <f t="shared" si="4"/>
        <v>5</v>
      </c>
      <c r="Q11" s="119">
        <f t="shared" si="4"/>
        <v>10</v>
      </c>
      <c r="R11" s="119">
        <f t="shared" si="4"/>
        <v>15</v>
      </c>
      <c r="S11" s="119">
        <f t="shared" si="4"/>
        <v>5</v>
      </c>
      <c r="T11" s="338">
        <f t="shared" si="4"/>
        <v>46</v>
      </c>
      <c r="U11" s="94">
        <f t="shared" si="0"/>
        <v>0.63430777716492004</v>
      </c>
      <c r="V11" s="119">
        <f t="shared" ref="V11:AA11" si="5">SUM(V6:V10)</f>
        <v>4</v>
      </c>
      <c r="W11" s="119">
        <f t="shared" si="5"/>
        <v>0</v>
      </c>
      <c r="X11" s="119">
        <f t="shared" si="5"/>
        <v>1</v>
      </c>
      <c r="Y11" s="119">
        <f t="shared" si="5"/>
        <v>1</v>
      </c>
      <c r="Z11" s="119">
        <f t="shared" si="5"/>
        <v>6</v>
      </c>
      <c r="AA11" s="339">
        <f t="shared" si="5"/>
        <v>12</v>
      </c>
      <c r="AB11" s="94">
        <f t="shared" si="1"/>
        <v>0.16547159404302261</v>
      </c>
      <c r="AC11" s="132">
        <f>SUM(AC6:AC10)</f>
        <v>8</v>
      </c>
      <c r="AD11" s="115">
        <f>SUM(AD6:AD10)</f>
        <v>3</v>
      </c>
      <c r="AE11" s="115">
        <f>SUM(AE6:AE10)</f>
        <v>139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151"/>
      <c r="O12" s="52"/>
      <c r="P12" s="52"/>
      <c r="Q12" s="52"/>
      <c r="R12" s="52"/>
      <c r="S12" s="52"/>
      <c r="T12" s="85"/>
      <c r="U12" s="151"/>
      <c r="AA12" s="340"/>
      <c r="AC12" s="340"/>
      <c r="AD12" s="340"/>
      <c r="AE12" s="340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131"/>
      <c r="O13" s="54"/>
      <c r="P13" s="54"/>
      <c r="Q13" s="54"/>
      <c r="R13" s="54"/>
      <c r="S13" s="54"/>
      <c r="T13" s="86"/>
      <c r="U13" s="131"/>
      <c r="AA13" s="340"/>
      <c r="AC13" s="340"/>
      <c r="AD13" s="340"/>
      <c r="AE13" s="340"/>
    </row>
    <row r="14" spans="1:36" ht="15" thickBot="1" x14ac:dyDescent="0.25">
      <c r="A14" s="7" t="s">
        <v>4</v>
      </c>
      <c r="B14" s="22">
        <v>26</v>
      </c>
      <c r="C14" s="22">
        <v>4</v>
      </c>
      <c r="D14" s="22">
        <v>30</v>
      </c>
      <c r="E14" s="22">
        <v>33</v>
      </c>
      <c r="F14" s="22">
        <v>14</v>
      </c>
      <c r="G14" s="121">
        <f>SUM(B14:F14)</f>
        <v>107</v>
      </c>
      <c r="H14" s="57">
        <v>0</v>
      </c>
      <c r="I14" s="57">
        <v>0</v>
      </c>
      <c r="J14" s="58">
        <v>0</v>
      </c>
      <c r="K14" s="45">
        <v>0</v>
      </c>
      <c r="L14" s="334">
        <v>0</v>
      </c>
      <c r="M14" s="335">
        <f>SUM(H14:L14)</f>
        <v>0</v>
      </c>
      <c r="N14" s="341">
        <f t="shared" si="3"/>
        <v>0</v>
      </c>
      <c r="O14" s="58">
        <v>0</v>
      </c>
      <c r="P14" s="58">
        <v>0</v>
      </c>
      <c r="Q14" s="45">
        <v>0</v>
      </c>
      <c r="R14" s="45">
        <v>0</v>
      </c>
      <c r="S14" s="58">
        <v>0</v>
      </c>
      <c r="T14" s="335">
        <f>SUM(O14:S14)</f>
        <v>0</v>
      </c>
      <c r="U14" s="211">
        <f t="shared" si="0"/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335">
        <f>SUM(V14:Z14)</f>
        <v>0</v>
      </c>
      <c r="AB14" s="92">
        <f t="shared" si="1"/>
        <v>0</v>
      </c>
      <c r="AC14" s="335">
        <v>0</v>
      </c>
      <c r="AD14" s="335">
        <v>0</v>
      </c>
      <c r="AE14" s="335">
        <v>3</v>
      </c>
    </row>
    <row r="15" spans="1:36" ht="15" thickBot="1" x14ac:dyDescent="0.25">
      <c r="A15" s="11" t="s">
        <v>5</v>
      </c>
      <c r="B15" s="27">
        <v>193</v>
      </c>
      <c r="C15" s="27">
        <v>34</v>
      </c>
      <c r="D15" s="27">
        <v>176</v>
      </c>
      <c r="E15" s="27">
        <v>289</v>
      </c>
      <c r="F15" s="27">
        <v>89</v>
      </c>
      <c r="G15" s="121">
        <f t="shared" ref="G15:G24" si="6">SUM(B15:F15)</f>
        <v>781</v>
      </c>
      <c r="H15" s="59">
        <v>0</v>
      </c>
      <c r="I15" s="60">
        <v>0</v>
      </c>
      <c r="J15" s="61">
        <v>0</v>
      </c>
      <c r="K15" s="62">
        <v>0</v>
      </c>
      <c r="L15" s="61">
        <v>0</v>
      </c>
      <c r="M15" s="335">
        <f t="shared" ref="M15:M24" si="7">SUM(H15:L15)</f>
        <v>0</v>
      </c>
      <c r="N15" s="341">
        <f t="shared" si="3"/>
        <v>0</v>
      </c>
      <c r="O15" s="62">
        <v>1</v>
      </c>
      <c r="P15" s="61">
        <v>0</v>
      </c>
      <c r="Q15" s="62">
        <v>4</v>
      </c>
      <c r="R15" s="62">
        <v>5</v>
      </c>
      <c r="S15" s="63">
        <v>0</v>
      </c>
      <c r="T15" s="335">
        <f t="shared" ref="T15:T24" si="8">SUM(O15:S15)</f>
        <v>10</v>
      </c>
      <c r="U15" s="212">
        <f t="shared" si="0"/>
        <v>1.2804097311139564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335">
        <f t="shared" ref="AA15:AA24" si="9">SUM(V15:Z15)</f>
        <v>0</v>
      </c>
      <c r="AB15" s="92">
        <f t="shared" si="1"/>
        <v>0</v>
      </c>
      <c r="AC15" s="335">
        <v>1</v>
      </c>
      <c r="AD15" s="335">
        <v>0</v>
      </c>
      <c r="AE15" s="335">
        <v>20</v>
      </c>
    </row>
    <row r="16" spans="1:36" ht="15" thickBot="1" x14ac:dyDescent="0.25">
      <c r="A16" s="11" t="s">
        <v>6</v>
      </c>
      <c r="B16" s="28">
        <v>80</v>
      </c>
      <c r="C16" s="27">
        <v>27</v>
      </c>
      <c r="D16" s="27">
        <v>49</v>
      </c>
      <c r="E16" s="27">
        <v>57</v>
      </c>
      <c r="F16" s="27">
        <v>32</v>
      </c>
      <c r="G16" s="121">
        <f t="shared" si="6"/>
        <v>245</v>
      </c>
      <c r="H16" s="59">
        <v>0</v>
      </c>
      <c r="I16" s="60">
        <v>0</v>
      </c>
      <c r="J16" s="61">
        <v>0</v>
      </c>
      <c r="K16" s="62">
        <v>0</v>
      </c>
      <c r="L16" s="61">
        <v>0</v>
      </c>
      <c r="M16" s="335">
        <f t="shared" si="7"/>
        <v>0</v>
      </c>
      <c r="N16" s="341">
        <f t="shared" si="3"/>
        <v>0</v>
      </c>
      <c r="O16" s="64">
        <v>0</v>
      </c>
      <c r="P16" s="64">
        <v>0</v>
      </c>
      <c r="Q16" s="62">
        <v>1</v>
      </c>
      <c r="R16" s="62">
        <v>0</v>
      </c>
      <c r="S16" s="63">
        <v>0</v>
      </c>
      <c r="T16" s="335">
        <f t="shared" si="8"/>
        <v>1</v>
      </c>
      <c r="U16" s="212">
        <f t="shared" si="0"/>
        <v>0.40816326530612246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335">
        <f t="shared" si="9"/>
        <v>0</v>
      </c>
      <c r="AB16" s="92">
        <f t="shared" si="1"/>
        <v>0</v>
      </c>
      <c r="AC16" s="335">
        <v>0</v>
      </c>
      <c r="AD16" s="335">
        <v>0</v>
      </c>
      <c r="AE16" s="335">
        <v>3</v>
      </c>
    </row>
    <row r="17" spans="1:34" ht="15" thickBot="1" x14ac:dyDescent="0.25">
      <c r="A17" s="11" t="s">
        <v>7</v>
      </c>
      <c r="B17" s="27">
        <v>36</v>
      </c>
      <c r="C17" s="27">
        <v>19</v>
      </c>
      <c r="D17" s="27">
        <v>37</v>
      </c>
      <c r="E17" s="27">
        <v>28</v>
      </c>
      <c r="F17" s="27">
        <v>27</v>
      </c>
      <c r="G17" s="121">
        <f t="shared" si="6"/>
        <v>147</v>
      </c>
      <c r="H17" s="59">
        <v>0</v>
      </c>
      <c r="I17" s="60">
        <v>0</v>
      </c>
      <c r="J17" s="61">
        <v>0</v>
      </c>
      <c r="K17" s="62">
        <v>0</v>
      </c>
      <c r="L17" s="61">
        <v>0</v>
      </c>
      <c r="M17" s="335">
        <f t="shared" si="7"/>
        <v>0</v>
      </c>
      <c r="N17" s="341">
        <f t="shared" si="3"/>
        <v>0</v>
      </c>
      <c r="O17" s="62">
        <v>0</v>
      </c>
      <c r="P17" s="62">
        <v>0</v>
      </c>
      <c r="Q17" s="62">
        <v>0</v>
      </c>
      <c r="R17" s="62">
        <v>0</v>
      </c>
      <c r="S17" s="63">
        <v>0</v>
      </c>
      <c r="T17" s="335">
        <f t="shared" si="8"/>
        <v>0</v>
      </c>
      <c r="U17" s="212">
        <f t="shared" si="0"/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335">
        <f t="shared" si="9"/>
        <v>0</v>
      </c>
      <c r="AB17" s="92">
        <f t="shared" si="1"/>
        <v>0</v>
      </c>
      <c r="AC17" s="335">
        <v>0</v>
      </c>
      <c r="AD17" s="335">
        <v>0</v>
      </c>
      <c r="AE17" s="335">
        <v>5</v>
      </c>
    </row>
    <row r="18" spans="1:34" ht="15" thickBot="1" x14ac:dyDescent="0.25">
      <c r="A18" s="11" t="s">
        <v>8</v>
      </c>
      <c r="B18" s="27">
        <v>9</v>
      </c>
      <c r="C18" s="27">
        <v>1</v>
      </c>
      <c r="D18" s="27">
        <v>5</v>
      </c>
      <c r="E18" s="27">
        <v>7</v>
      </c>
      <c r="F18" s="27">
        <v>3</v>
      </c>
      <c r="G18" s="121">
        <f t="shared" si="6"/>
        <v>25</v>
      </c>
      <c r="H18" s="59">
        <v>0</v>
      </c>
      <c r="I18" s="60">
        <v>0</v>
      </c>
      <c r="J18" s="61">
        <v>0</v>
      </c>
      <c r="K18" s="62">
        <v>0</v>
      </c>
      <c r="L18" s="61">
        <v>0</v>
      </c>
      <c r="M18" s="335">
        <f t="shared" si="7"/>
        <v>0</v>
      </c>
      <c r="N18" s="341">
        <f t="shared" si="3"/>
        <v>0</v>
      </c>
      <c r="O18" s="62">
        <v>0</v>
      </c>
      <c r="P18" s="62">
        <v>0</v>
      </c>
      <c r="Q18" s="62">
        <v>0</v>
      </c>
      <c r="R18" s="62">
        <v>0</v>
      </c>
      <c r="S18" s="61">
        <v>0</v>
      </c>
      <c r="T18" s="335">
        <f t="shared" si="8"/>
        <v>0</v>
      </c>
      <c r="U18" s="212">
        <f t="shared" si="0"/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335">
        <f t="shared" si="9"/>
        <v>0</v>
      </c>
      <c r="AB18" s="92">
        <f t="shared" si="1"/>
        <v>0</v>
      </c>
      <c r="AC18" s="335">
        <v>0</v>
      </c>
      <c r="AD18" s="335">
        <v>0</v>
      </c>
      <c r="AE18" s="335">
        <v>0</v>
      </c>
    </row>
    <row r="19" spans="1:34" ht="15" thickBot="1" x14ac:dyDescent="0.25">
      <c r="A19" s="11" t="s">
        <v>9</v>
      </c>
      <c r="B19" s="27">
        <v>19</v>
      </c>
      <c r="C19" s="27">
        <v>10</v>
      </c>
      <c r="D19" s="27">
        <v>14</v>
      </c>
      <c r="E19" s="27">
        <v>17</v>
      </c>
      <c r="F19" s="27">
        <v>7</v>
      </c>
      <c r="G19" s="121">
        <f t="shared" si="6"/>
        <v>67</v>
      </c>
      <c r="H19" s="59">
        <v>1</v>
      </c>
      <c r="I19" s="60">
        <v>0</v>
      </c>
      <c r="J19" s="61">
        <v>1</v>
      </c>
      <c r="K19" s="62">
        <v>1</v>
      </c>
      <c r="L19" s="61">
        <v>0</v>
      </c>
      <c r="M19" s="335">
        <f t="shared" si="7"/>
        <v>3</v>
      </c>
      <c r="N19" s="341">
        <f t="shared" si="3"/>
        <v>4.4776119402985071</v>
      </c>
      <c r="O19" s="62">
        <v>0</v>
      </c>
      <c r="P19" s="62">
        <v>0</v>
      </c>
      <c r="Q19" s="62">
        <v>0</v>
      </c>
      <c r="R19" s="62">
        <v>0</v>
      </c>
      <c r="S19" s="65">
        <v>0</v>
      </c>
      <c r="T19" s="335">
        <f t="shared" si="8"/>
        <v>0</v>
      </c>
      <c r="U19" s="212">
        <f t="shared" si="0"/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335">
        <f t="shared" si="9"/>
        <v>0</v>
      </c>
      <c r="AB19" s="92">
        <f t="shared" si="1"/>
        <v>0</v>
      </c>
      <c r="AC19" s="335">
        <v>0</v>
      </c>
      <c r="AD19" s="335">
        <v>0</v>
      </c>
      <c r="AE19" s="335">
        <v>1</v>
      </c>
    </row>
    <row r="20" spans="1:34" ht="15" thickBot="1" x14ac:dyDescent="0.25">
      <c r="A20" s="11" t="s">
        <v>10</v>
      </c>
      <c r="B20" s="27">
        <v>14</v>
      </c>
      <c r="C20" s="27">
        <v>6</v>
      </c>
      <c r="D20" s="27">
        <v>11</v>
      </c>
      <c r="E20" s="27">
        <v>21</v>
      </c>
      <c r="F20" s="27">
        <v>1</v>
      </c>
      <c r="G20" s="121">
        <f t="shared" si="6"/>
        <v>53</v>
      </c>
      <c r="H20" s="59">
        <v>0</v>
      </c>
      <c r="I20" s="60">
        <v>0</v>
      </c>
      <c r="J20" s="61">
        <v>0</v>
      </c>
      <c r="K20" s="62">
        <v>0</v>
      </c>
      <c r="L20" s="61">
        <v>0</v>
      </c>
      <c r="M20" s="335">
        <f t="shared" si="7"/>
        <v>0</v>
      </c>
      <c r="N20" s="341">
        <f t="shared" si="3"/>
        <v>0</v>
      </c>
      <c r="O20" s="62">
        <v>0</v>
      </c>
      <c r="P20" s="62">
        <v>0</v>
      </c>
      <c r="Q20" s="62">
        <v>0</v>
      </c>
      <c r="R20" s="62">
        <v>0</v>
      </c>
      <c r="S20" s="65">
        <v>0</v>
      </c>
      <c r="T20" s="335">
        <f t="shared" si="8"/>
        <v>0</v>
      </c>
      <c r="U20" s="212">
        <f t="shared" si="0"/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335">
        <f t="shared" si="9"/>
        <v>0</v>
      </c>
      <c r="AB20" s="92">
        <f t="shared" si="1"/>
        <v>0</v>
      </c>
      <c r="AC20" s="335">
        <v>0</v>
      </c>
      <c r="AD20" s="335">
        <v>0</v>
      </c>
      <c r="AE20" s="335">
        <v>1</v>
      </c>
    </row>
    <row r="21" spans="1:34" ht="15" thickBot="1" x14ac:dyDescent="0.25">
      <c r="A21" s="11" t="s">
        <v>11</v>
      </c>
      <c r="B21" s="27">
        <v>74</v>
      </c>
      <c r="C21" s="27">
        <v>4</v>
      </c>
      <c r="D21" s="27">
        <v>63</v>
      </c>
      <c r="E21" s="27">
        <v>90</v>
      </c>
      <c r="F21" s="27">
        <v>39</v>
      </c>
      <c r="G21" s="121">
        <f t="shared" si="6"/>
        <v>270</v>
      </c>
      <c r="H21" s="66">
        <v>0</v>
      </c>
      <c r="I21" s="66">
        <v>0</v>
      </c>
      <c r="J21" s="64">
        <v>2</v>
      </c>
      <c r="K21" s="62">
        <v>1</v>
      </c>
      <c r="L21" s="65">
        <v>0</v>
      </c>
      <c r="M21" s="335">
        <f t="shared" si="7"/>
        <v>3</v>
      </c>
      <c r="N21" s="341">
        <f t="shared" si="3"/>
        <v>1.1111111111111112</v>
      </c>
      <c r="O21" s="62">
        <v>0</v>
      </c>
      <c r="P21" s="62">
        <v>0</v>
      </c>
      <c r="Q21" s="62">
        <v>3</v>
      </c>
      <c r="R21" s="62">
        <v>0</v>
      </c>
      <c r="S21" s="64">
        <v>0</v>
      </c>
      <c r="T21" s="335">
        <f t="shared" si="8"/>
        <v>3</v>
      </c>
      <c r="U21" s="212">
        <f t="shared" si="0"/>
        <v>1.1111111111111112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335">
        <f t="shared" si="9"/>
        <v>0</v>
      </c>
      <c r="AB21" s="92">
        <f t="shared" si="1"/>
        <v>0</v>
      </c>
      <c r="AC21" s="335">
        <v>0</v>
      </c>
      <c r="AD21" s="335">
        <v>0</v>
      </c>
      <c r="AE21" s="335">
        <v>23</v>
      </c>
    </row>
    <row r="22" spans="1:34" ht="15" thickBot="1" x14ac:dyDescent="0.25">
      <c r="A22" s="11" t="s">
        <v>12</v>
      </c>
      <c r="B22" s="27">
        <v>1413</v>
      </c>
      <c r="C22" s="27">
        <v>540</v>
      </c>
      <c r="D22" s="27">
        <v>1488</v>
      </c>
      <c r="E22" s="27">
        <v>1604</v>
      </c>
      <c r="F22" s="27">
        <v>826</v>
      </c>
      <c r="G22" s="121">
        <f t="shared" si="6"/>
        <v>5871</v>
      </c>
      <c r="H22" s="60">
        <v>7</v>
      </c>
      <c r="I22" s="62">
        <v>0</v>
      </c>
      <c r="J22" s="62">
        <v>4</v>
      </c>
      <c r="K22" s="62">
        <v>4</v>
      </c>
      <c r="L22" s="61">
        <v>4</v>
      </c>
      <c r="M22" s="335">
        <f t="shared" si="7"/>
        <v>19</v>
      </c>
      <c r="N22" s="341">
        <f t="shared" si="3"/>
        <v>0.32362459546925565</v>
      </c>
      <c r="O22" s="62">
        <v>2</v>
      </c>
      <c r="P22" s="62">
        <v>3</v>
      </c>
      <c r="Q22" s="62">
        <v>5</v>
      </c>
      <c r="R22" s="62">
        <v>12</v>
      </c>
      <c r="S22" s="62">
        <v>4</v>
      </c>
      <c r="T22" s="335">
        <f t="shared" si="8"/>
        <v>26</v>
      </c>
      <c r="U22" s="212">
        <f t="shared" si="0"/>
        <v>0.44285470958950773</v>
      </c>
      <c r="V22" s="62">
        <v>0</v>
      </c>
      <c r="W22" s="62">
        <v>1</v>
      </c>
      <c r="X22" s="62">
        <v>2</v>
      </c>
      <c r="Y22" s="62">
        <v>0</v>
      </c>
      <c r="Z22" s="62">
        <v>3</v>
      </c>
      <c r="AA22" s="335">
        <f t="shared" si="9"/>
        <v>6</v>
      </c>
      <c r="AB22" s="92">
        <f t="shared" si="1"/>
        <v>0.10219724067450178</v>
      </c>
      <c r="AC22" s="335">
        <v>6</v>
      </c>
      <c r="AD22" s="335">
        <v>2</v>
      </c>
      <c r="AE22" s="335">
        <v>116</v>
      </c>
    </row>
    <row r="23" spans="1:34" ht="15" thickBot="1" x14ac:dyDescent="0.25">
      <c r="A23" s="12" t="s">
        <v>13</v>
      </c>
      <c r="B23" s="29">
        <v>7</v>
      </c>
      <c r="C23" s="29">
        <v>2</v>
      </c>
      <c r="D23" s="27">
        <v>17</v>
      </c>
      <c r="E23" s="29">
        <v>1</v>
      </c>
      <c r="F23" s="27">
        <v>3</v>
      </c>
      <c r="G23" s="121">
        <f t="shared" si="6"/>
        <v>30</v>
      </c>
      <c r="H23" s="67">
        <v>0</v>
      </c>
      <c r="I23" s="68">
        <v>0</v>
      </c>
      <c r="J23" s="68">
        <v>0</v>
      </c>
      <c r="K23" s="68">
        <v>0</v>
      </c>
      <c r="L23" s="63">
        <v>0</v>
      </c>
      <c r="M23" s="335">
        <f t="shared" si="7"/>
        <v>0</v>
      </c>
      <c r="N23" s="341">
        <f t="shared" si="3"/>
        <v>0</v>
      </c>
      <c r="O23" s="68">
        <v>1</v>
      </c>
      <c r="P23" s="68">
        <v>0</v>
      </c>
      <c r="Q23" s="68">
        <v>0</v>
      </c>
      <c r="R23" s="68">
        <v>0</v>
      </c>
      <c r="S23" s="68">
        <v>0</v>
      </c>
      <c r="T23" s="335">
        <f t="shared" si="8"/>
        <v>1</v>
      </c>
      <c r="U23" s="212">
        <f t="shared" si="0"/>
        <v>3.3333333333333335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335">
        <f t="shared" si="9"/>
        <v>0</v>
      </c>
      <c r="AB23" s="92">
        <f t="shared" si="1"/>
        <v>0</v>
      </c>
      <c r="AC23" s="335">
        <v>2</v>
      </c>
      <c r="AD23" s="335">
        <v>0</v>
      </c>
      <c r="AE23" s="335">
        <v>1</v>
      </c>
    </row>
    <row r="24" spans="1:34" ht="24.75" thickBot="1" x14ac:dyDescent="0.25">
      <c r="A24" s="18" t="s">
        <v>23</v>
      </c>
      <c r="B24" s="23">
        <v>471</v>
      </c>
      <c r="C24" s="23">
        <v>148</v>
      </c>
      <c r="D24" s="27">
        <v>496</v>
      </c>
      <c r="E24" s="23">
        <v>434</v>
      </c>
      <c r="F24" s="27">
        <v>244</v>
      </c>
      <c r="G24" s="121">
        <f t="shared" si="6"/>
        <v>1793</v>
      </c>
      <c r="H24" s="150">
        <v>1</v>
      </c>
      <c r="I24" s="68">
        <v>0</v>
      </c>
      <c r="J24" s="68">
        <v>1</v>
      </c>
      <c r="K24" s="68">
        <v>1</v>
      </c>
      <c r="L24" s="63">
        <v>1</v>
      </c>
      <c r="M24" s="335">
        <f t="shared" si="7"/>
        <v>4</v>
      </c>
      <c r="N24" s="96">
        <f t="shared" si="3"/>
        <v>0.22308979364194087</v>
      </c>
      <c r="O24" s="89">
        <v>0</v>
      </c>
      <c r="P24" s="68">
        <v>0</v>
      </c>
      <c r="Q24" s="89">
        <v>0</v>
      </c>
      <c r="R24" s="89">
        <v>5</v>
      </c>
      <c r="S24" s="68">
        <v>0</v>
      </c>
      <c r="T24" s="335">
        <f t="shared" si="8"/>
        <v>5</v>
      </c>
      <c r="U24" s="213">
        <f t="shared" si="0"/>
        <v>0.2788622420524261</v>
      </c>
      <c r="V24" s="89">
        <v>0</v>
      </c>
      <c r="W24" s="89">
        <v>0</v>
      </c>
      <c r="X24" s="89">
        <v>1</v>
      </c>
      <c r="Y24" s="89">
        <v>0</v>
      </c>
      <c r="Z24" s="89">
        <v>0</v>
      </c>
      <c r="AA24" s="335">
        <f t="shared" si="9"/>
        <v>1</v>
      </c>
      <c r="AB24" s="93">
        <f t="shared" si="1"/>
        <v>5.5772448410485218E-2</v>
      </c>
      <c r="AC24" s="335">
        <v>0</v>
      </c>
      <c r="AD24" s="335">
        <v>0</v>
      </c>
      <c r="AE24" s="335">
        <v>32</v>
      </c>
    </row>
    <row r="25" spans="1:34" ht="15.75" thickBot="1" x14ac:dyDescent="0.3">
      <c r="A25" s="13" t="s">
        <v>22</v>
      </c>
      <c r="B25" s="30">
        <f t="shared" ref="B25:L25" si="10">SUM(B14:B24)</f>
        <v>2342</v>
      </c>
      <c r="C25" s="30">
        <f t="shared" si="10"/>
        <v>795</v>
      </c>
      <c r="D25" s="30">
        <f t="shared" si="10"/>
        <v>2386</v>
      </c>
      <c r="E25" s="30">
        <f t="shared" si="10"/>
        <v>2581</v>
      </c>
      <c r="F25" s="30">
        <f t="shared" si="10"/>
        <v>1285</v>
      </c>
      <c r="G25" s="122">
        <f>SUM(G14:G24)</f>
        <v>9389</v>
      </c>
      <c r="H25" s="71">
        <f t="shared" si="10"/>
        <v>9</v>
      </c>
      <c r="I25" s="72">
        <f t="shared" si="10"/>
        <v>0</v>
      </c>
      <c r="J25" s="72">
        <f t="shared" si="10"/>
        <v>8</v>
      </c>
      <c r="K25" s="72">
        <f t="shared" si="10"/>
        <v>7</v>
      </c>
      <c r="L25" s="72">
        <f t="shared" si="10"/>
        <v>5</v>
      </c>
      <c r="M25" s="337">
        <f>SUM(M14:M24)</f>
        <v>29</v>
      </c>
      <c r="N25" s="118">
        <f t="shared" si="3"/>
        <v>0.3088720843540313</v>
      </c>
      <c r="O25" s="116">
        <f t="shared" ref="O25:T25" si="11">SUM(O14:O24)</f>
        <v>4</v>
      </c>
      <c r="P25" s="116">
        <f t="shared" si="11"/>
        <v>3</v>
      </c>
      <c r="Q25" s="116">
        <f t="shared" si="11"/>
        <v>13</v>
      </c>
      <c r="R25" s="116">
        <f t="shared" si="11"/>
        <v>22</v>
      </c>
      <c r="S25" s="116">
        <f t="shared" si="11"/>
        <v>4</v>
      </c>
      <c r="T25" s="116">
        <f t="shared" si="11"/>
        <v>46</v>
      </c>
      <c r="U25" s="214">
        <f t="shared" si="0"/>
        <v>0.48993503035467034</v>
      </c>
      <c r="V25" s="116">
        <f t="shared" ref="V25:AA25" si="12">SUM(V14:V24)</f>
        <v>0</v>
      </c>
      <c r="W25" s="116">
        <f t="shared" si="12"/>
        <v>1</v>
      </c>
      <c r="X25" s="116">
        <f t="shared" si="12"/>
        <v>3</v>
      </c>
      <c r="Y25" s="116">
        <f t="shared" si="12"/>
        <v>0</v>
      </c>
      <c r="Z25" s="116">
        <f t="shared" si="12"/>
        <v>3</v>
      </c>
      <c r="AA25" s="116">
        <f t="shared" si="12"/>
        <v>7</v>
      </c>
      <c r="AB25" s="94">
        <f t="shared" si="1"/>
        <v>7.4555330706145492E-2</v>
      </c>
      <c r="AC25" s="132">
        <f>SUM(AC14:AC24)</f>
        <v>9</v>
      </c>
      <c r="AD25" s="115">
        <f>SUM(AD14:AD24)</f>
        <v>2</v>
      </c>
      <c r="AE25" s="115">
        <f>SUM(AE14:AE24)</f>
        <v>205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340"/>
      <c r="AC26" s="340"/>
      <c r="AD26" s="113"/>
      <c r="AE26" s="340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75"/>
      <c r="O27" s="74"/>
      <c r="P27" s="74"/>
      <c r="Q27" s="74"/>
      <c r="R27" s="74"/>
      <c r="S27" s="74"/>
      <c r="T27" s="88"/>
      <c r="U27" s="131"/>
      <c r="AA27" s="340"/>
      <c r="AC27" s="340"/>
      <c r="AD27" s="113"/>
      <c r="AE27" s="340"/>
    </row>
    <row r="28" spans="1:34" ht="15" thickBot="1" x14ac:dyDescent="0.25">
      <c r="A28" s="7" t="s">
        <v>15</v>
      </c>
      <c r="B28" s="22">
        <v>3626</v>
      </c>
      <c r="C28" s="22">
        <v>2002</v>
      </c>
      <c r="D28" s="22">
        <v>2865</v>
      </c>
      <c r="E28" s="22">
        <v>3400</v>
      </c>
      <c r="F28" s="22">
        <v>3005</v>
      </c>
      <c r="G28" s="121">
        <f>SUM(B28:F28)</f>
        <v>14898</v>
      </c>
      <c r="H28" s="44">
        <v>1</v>
      </c>
      <c r="I28" s="45">
        <v>2</v>
      </c>
      <c r="J28" s="45">
        <v>3</v>
      </c>
      <c r="K28" s="45">
        <v>3</v>
      </c>
      <c r="L28" s="342">
        <v>0</v>
      </c>
      <c r="M28" s="335">
        <f>SUM(H28:L28)</f>
        <v>9</v>
      </c>
      <c r="N28" s="77">
        <f t="shared" si="3"/>
        <v>6.0410793395086586E-2</v>
      </c>
      <c r="O28" s="45">
        <v>4</v>
      </c>
      <c r="P28" s="45">
        <v>2</v>
      </c>
      <c r="Q28" s="45">
        <v>5</v>
      </c>
      <c r="R28" s="45">
        <v>7</v>
      </c>
      <c r="S28" s="45">
        <v>0</v>
      </c>
      <c r="T28" s="335">
        <f>SUM(O28:S28)</f>
        <v>18</v>
      </c>
      <c r="U28" s="133">
        <f t="shared" si="0"/>
        <v>0.12082158679017317</v>
      </c>
      <c r="V28" s="45">
        <v>1</v>
      </c>
      <c r="W28" s="45">
        <v>0</v>
      </c>
      <c r="X28" s="45">
        <v>1</v>
      </c>
      <c r="Y28" s="45">
        <v>1</v>
      </c>
      <c r="Z28" s="45">
        <v>1</v>
      </c>
      <c r="AA28" s="335">
        <f>SUM(V28:Z28)</f>
        <v>4</v>
      </c>
      <c r="AB28" s="92">
        <f t="shared" si="1"/>
        <v>2.6849241508927372E-2</v>
      </c>
      <c r="AC28" s="335">
        <v>2</v>
      </c>
      <c r="AD28" s="335">
        <v>1</v>
      </c>
      <c r="AE28" s="335">
        <v>48</v>
      </c>
    </row>
    <row r="29" spans="1:34" ht="15" thickBot="1" x14ac:dyDescent="0.25">
      <c r="A29" s="11" t="s">
        <v>16</v>
      </c>
      <c r="B29" s="27">
        <v>1423</v>
      </c>
      <c r="C29" s="27">
        <v>835</v>
      </c>
      <c r="D29" s="27">
        <v>1449</v>
      </c>
      <c r="E29" s="27">
        <v>1527</v>
      </c>
      <c r="F29" s="27">
        <v>1005</v>
      </c>
      <c r="G29" s="121">
        <f t="shared" ref="G29:G36" si="13">SUM(B29:F29)</f>
        <v>6239</v>
      </c>
      <c r="H29" s="60">
        <v>6</v>
      </c>
      <c r="I29" s="62">
        <v>2</v>
      </c>
      <c r="J29" s="62">
        <v>6</v>
      </c>
      <c r="K29" s="62">
        <v>5</v>
      </c>
      <c r="L29" s="61">
        <v>1</v>
      </c>
      <c r="M29" s="335">
        <f t="shared" ref="M29:M36" si="14">SUM(H29:L29)</f>
        <v>20</v>
      </c>
      <c r="N29" s="78">
        <f t="shared" si="3"/>
        <v>0.32056419297964417</v>
      </c>
      <c r="O29" s="62">
        <v>6</v>
      </c>
      <c r="P29" s="62">
        <v>0</v>
      </c>
      <c r="Q29" s="62">
        <v>13</v>
      </c>
      <c r="R29" s="62">
        <v>6</v>
      </c>
      <c r="S29" s="62">
        <v>0</v>
      </c>
      <c r="T29" s="335">
        <f t="shared" ref="T29:T36" si="15">SUM(O29:S29)</f>
        <v>25</v>
      </c>
      <c r="U29" s="92">
        <f t="shared" si="0"/>
        <v>0.4007052412245552</v>
      </c>
      <c r="V29" s="62">
        <v>5</v>
      </c>
      <c r="W29" s="62">
        <v>1</v>
      </c>
      <c r="X29" s="62">
        <v>3</v>
      </c>
      <c r="Y29" s="62">
        <v>3</v>
      </c>
      <c r="Z29" s="62">
        <v>0</v>
      </c>
      <c r="AA29" s="335">
        <f t="shared" ref="AA29:AA36" si="16">SUM(V29:Z29)</f>
        <v>12</v>
      </c>
      <c r="AB29" s="92">
        <f t="shared" si="1"/>
        <v>0.19233851578778649</v>
      </c>
      <c r="AC29" s="335">
        <v>10</v>
      </c>
      <c r="AD29" s="335">
        <v>5</v>
      </c>
      <c r="AE29" s="335">
        <v>68</v>
      </c>
    </row>
    <row r="30" spans="1:34" ht="15" thickBot="1" x14ac:dyDescent="0.25">
      <c r="A30" s="11" t="s">
        <v>35</v>
      </c>
      <c r="B30" s="27">
        <v>1049</v>
      </c>
      <c r="C30" s="27">
        <v>688</v>
      </c>
      <c r="D30" s="27">
        <v>815</v>
      </c>
      <c r="E30" s="27">
        <v>894</v>
      </c>
      <c r="F30" s="27">
        <v>1308</v>
      </c>
      <c r="G30" s="121">
        <f t="shared" si="13"/>
        <v>4754</v>
      </c>
      <c r="H30" s="60">
        <v>0</v>
      </c>
      <c r="I30" s="62">
        <v>0</v>
      </c>
      <c r="J30" s="62">
        <v>1</v>
      </c>
      <c r="K30" s="62">
        <v>2</v>
      </c>
      <c r="L30" s="61">
        <v>0</v>
      </c>
      <c r="M30" s="335">
        <f t="shared" si="14"/>
        <v>3</v>
      </c>
      <c r="N30" s="78">
        <f t="shared" si="3"/>
        <v>6.3104753891459822E-2</v>
      </c>
      <c r="O30" s="62">
        <v>3</v>
      </c>
      <c r="P30" s="62">
        <v>6</v>
      </c>
      <c r="Q30" s="62">
        <v>8</v>
      </c>
      <c r="R30" s="62">
        <v>3</v>
      </c>
      <c r="S30" s="62">
        <v>5</v>
      </c>
      <c r="T30" s="335">
        <f t="shared" si="15"/>
        <v>25</v>
      </c>
      <c r="U30" s="92">
        <f t="shared" si="0"/>
        <v>0.52587294909549853</v>
      </c>
      <c r="V30" s="62">
        <v>0</v>
      </c>
      <c r="W30" s="62">
        <v>1</v>
      </c>
      <c r="X30" s="62">
        <v>0</v>
      </c>
      <c r="Y30" s="62">
        <v>0</v>
      </c>
      <c r="Z30" s="62">
        <v>2</v>
      </c>
      <c r="AA30" s="335">
        <f t="shared" si="16"/>
        <v>3</v>
      </c>
      <c r="AB30" s="92">
        <f t="shared" si="1"/>
        <v>6.3104753891459822E-2</v>
      </c>
      <c r="AC30" s="335">
        <v>2</v>
      </c>
      <c r="AD30" s="335">
        <v>1</v>
      </c>
      <c r="AE30" s="335">
        <v>22</v>
      </c>
    </row>
    <row r="31" spans="1:34" ht="15" thickBot="1" x14ac:dyDescent="0.25">
      <c r="A31" s="11" t="s">
        <v>17</v>
      </c>
      <c r="B31" s="27">
        <v>7564</v>
      </c>
      <c r="C31" s="27">
        <v>4133</v>
      </c>
      <c r="D31" s="27">
        <v>7264</v>
      </c>
      <c r="E31" s="27">
        <v>7764</v>
      </c>
      <c r="F31" s="27">
        <v>6412</v>
      </c>
      <c r="G31" s="121">
        <f t="shared" si="13"/>
        <v>33137</v>
      </c>
      <c r="H31" s="60">
        <v>4</v>
      </c>
      <c r="I31" s="62">
        <v>1</v>
      </c>
      <c r="J31" s="62">
        <v>2</v>
      </c>
      <c r="K31" s="62">
        <v>4</v>
      </c>
      <c r="L31" s="61">
        <v>1</v>
      </c>
      <c r="M31" s="335">
        <f t="shared" si="14"/>
        <v>12</v>
      </c>
      <c r="N31" s="78">
        <f t="shared" si="3"/>
        <v>3.62132963152971E-2</v>
      </c>
      <c r="O31" s="62">
        <v>5</v>
      </c>
      <c r="P31" s="62">
        <v>1</v>
      </c>
      <c r="Q31" s="62">
        <v>5</v>
      </c>
      <c r="R31" s="62">
        <v>6</v>
      </c>
      <c r="S31" s="62">
        <v>5</v>
      </c>
      <c r="T31" s="335">
        <f t="shared" si="15"/>
        <v>22</v>
      </c>
      <c r="U31" s="92">
        <f t="shared" si="0"/>
        <v>6.6391043244711345E-2</v>
      </c>
      <c r="V31" s="62">
        <v>0</v>
      </c>
      <c r="W31" s="62">
        <v>1</v>
      </c>
      <c r="X31" s="62">
        <v>0</v>
      </c>
      <c r="Y31" s="62">
        <v>3</v>
      </c>
      <c r="Z31" s="62">
        <v>3</v>
      </c>
      <c r="AA31" s="335">
        <f t="shared" si="16"/>
        <v>7</v>
      </c>
      <c r="AB31" s="92">
        <f t="shared" si="1"/>
        <v>2.1124422850589974E-2</v>
      </c>
      <c r="AC31" s="335">
        <v>8</v>
      </c>
      <c r="AD31" s="335">
        <v>0</v>
      </c>
      <c r="AE31" s="335">
        <v>131</v>
      </c>
      <c r="AH31" t="s">
        <v>53</v>
      </c>
    </row>
    <row r="32" spans="1:34" ht="15" thickBot="1" x14ac:dyDescent="0.25">
      <c r="A32" s="11" t="s">
        <v>18</v>
      </c>
      <c r="B32" s="27">
        <v>2082</v>
      </c>
      <c r="C32" s="27">
        <v>1485</v>
      </c>
      <c r="D32" s="27">
        <v>1413</v>
      </c>
      <c r="E32" s="27">
        <v>1612</v>
      </c>
      <c r="F32" s="27">
        <v>2765</v>
      </c>
      <c r="G32" s="121">
        <f t="shared" si="13"/>
        <v>9357</v>
      </c>
      <c r="H32" s="60">
        <v>2</v>
      </c>
      <c r="I32" s="62">
        <v>4</v>
      </c>
      <c r="J32" s="62">
        <v>3</v>
      </c>
      <c r="K32" s="62">
        <v>0</v>
      </c>
      <c r="L32" s="61">
        <v>0</v>
      </c>
      <c r="M32" s="335">
        <f t="shared" si="14"/>
        <v>9</v>
      </c>
      <c r="N32" s="78">
        <f t="shared" si="3"/>
        <v>9.6184674575184356E-2</v>
      </c>
      <c r="O32" s="62">
        <v>1</v>
      </c>
      <c r="P32" s="62">
        <v>2</v>
      </c>
      <c r="Q32" s="62">
        <v>2</v>
      </c>
      <c r="R32" s="62">
        <v>0</v>
      </c>
      <c r="S32" s="62">
        <v>10</v>
      </c>
      <c r="T32" s="335">
        <f t="shared" si="15"/>
        <v>15</v>
      </c>
      <c r="U32" s="92">
        <f t="shared" si="0"/>
        <v>0.16030779095864059</v>
      </c>
      <c r="V32" s="62">
        <v>1</v>
      </c>
      <c r="W32" s="62">
        <v>0</v>
      </c>
      <c r="X32" s="62">
        <v>1</v>
      </c>
      <c r="Y32" s="62">
        <v>2</v>
      </c>
      <c r="Z32" s="62">
        <v>1</v>
      </c>
      <c r="AA32" s="335">
        <f t="shared" si="16"/>
        <v>5</v>
      </c>
      <c r="AB32" s="92">
        <f t="shared" si="1"/>
        <v>5.3435930319546861E-2</v>
      </c>
      <c r="AC32" s="335">
        <v>7</v>
      </c>
      <c r="AD32" s="335">
        <v>3</v>
      </c>
      <c r="AE32" s="335">
        <v>48</v>
      </c>
    </row>
    <row r="33" spans="1:32" ht="15" thickBot="1" x14ac:dyDescent="0.25">
      <c r="A33" s="11" t="s">
        <v>19</v>
      </c>
      <c r="B33" s="27">
        <v>10792</v>
      </c>
      <c r="C33" s="27">
        <v>6022</v>
      </c>
      <c r="D33" s="27">
        <v>10696</v>
      </c>
      <c r="E33" s="27">
        <v>10044</v>
      </c>
      <c r="F33" s="27">
        <v>7456</v>
      </c>
      <c r="G33" s="121">
        <f t="shared" si="13"/>
        <v>45010</v>
      </c>
      <c r="H33" s="60">
        <v>26</v>
      </c>
      <c r="I33" s="62">
        <v>9</v>
      </c>
      <c r="J33" s="62">
        <v>33</v>
      </c>
      <c r="K33" s="62">
        <v>20</v>
      </c>
      <c r="L33" s="61">
        <v>13</v>
      </c>
      <c r="M33" s="335">
        <f t="shared" si="14"/>
        <v>101</v>
      </c>
      <c r="N33" s="78">
        <f t="shared" si="3"/>
        <v>0.22439457898244836</v>
      </c>
      <c r="O33" s="62">
        <v>37</v>
      </c>
      <c r="P33" s="62">
        <v>20</v>
      </c>
      <c r="Q33" s="62">
        <v>55</v>
      </c>
      <c r="R33" s="62">
        <v>51</v>
      </c>
      <c r="S33" s="62">
        <v>24</v>
      </c>
      <c r="T33" s="335">
        <f t="shared" si="15"/>
        <v>187</v>
      </c>
      <c r="U33" s="92">
        <f t="shared" si="0"/>
        <v>0.41546323039324595</v>
      </c>
      <c r="V33" s="62">
        <v>20</v>
      </c>
      <c r="W33" s="62">
        <v>3</v>
      </c>
      <c r="X33" s="62">
        <v>17</v>
      </c>
      <c r="Y33" s="62">
        <v>10</v>
      </c>
      <c r="Z33" s="62">
        <v>5</v>
      </c>
      <c r="AA33" s="335">
        <f t="shared" si="16"/>
        <v>55</v>
      </c>
      <c r="AB33" s="92">
        <f t="shared" si="1"/>
        <v>0.12219506776271939</v>
      </c>
      <c r="AC33" s="335">
        <v>51</v>
      </c>
      <c r="AD33" s="335">
        <v>13</v>
      </c>
      <c r="AE33" s="335">
        <v>404</v>
      </c>
    </row>
    <row r="34" spans="1:32" ht="15" thickBot="1" x14ac:dyDescent="0.25">
      <c r="A34" s="11" t="s">
        <v>20</v>
      </c>
      <c r="B34" s="27">
        <v>7731</v>
      </c>
      <c r="C34" s="27">
        <v>4298</v>
      </c>
      <c r="D34" s="27">
        <v>6884</v>
      </c>
      <c r="E34" s="27">
        <v>8230</v>
      </c>
      <c r="F34" s="27">
        <v>4983</v>
      </c>
      <c r="G34" s="121">
        <f t="shared" si="13"/>
        <v>32126</v>
      </c>
      <c r="H34" s="60">
        <v>19</v>
      </c>
      <c r="I34" s="62">
        <v>3</v>
      </c>
      <c r="J34" s="62">
        <v>23</v>
      </c>
      <c r="K34" s="62">
        <v>18</v>
      </c>
      <c r="L34" s="61">
        <v>2</v>
      </c>
      <c r="M34" s="335">
        <f t="shared" si="14"/>
        <v>65</v>
      </c>
      <c r="N34" s="78">
        <f t="shared" si="3"/>
        <v>0.20232833219199403</v>
      </c>
      <c r="O34" s="62">
        <v>22</v>
      </c>
      <c r="P34" s="62">
        <v>7</v>
      </c>
      <c r="Q34" s="62">
        <v>21</v>
      </c>
      <c r="R34" s="62">
        <v>27</v>
      </c>
      <c r="S34" s="62">
        <v>11</v>
      </c>
      <c r="T34" s="335">
        <f t="shared" si="15"/>
        <v>88</v>
      </c>
      <c r="U34" s="92">
        <f t="shared" si="0"/>
        <v>0.27392143435223804</v>
      </c>
      <c r="V34" s="62">
        <v>6</v>
      </c>
      <c r="W34" s="62">
        <v>2</v>
      </c>
      <c r="X34" s="62">
        <v>6</v>
      </c>
      <c r="Y34" s="62">
        <v>4</v>
      </c>
      <c r="Z34" s="62">
        <v>5</v>
      </c>
      <c r="AA34" s="335">
        <f t="shared" si="16"/>
        <v>23</v>
      </c>
      <c r="AB34" s="92">
        <f t="shared" si="1"/>
        <v>7.1593102160244046E-2</v>
      </c>
      <c r="AC34" s="335">
        <v>33</v>
      </c>
      <c r="AD34" s="335">
        <v>6</v>
      </c>
      <c r="AE34" s="335">
        <v>277</v>
      </c>
    </row>
    <row r="35" spans="1:32" ht="15" thickBot="1" x14ac:dyDescent="0.25">
      <c r="A35" s="11" t="s">
        <v>25</v>
      </c>
      <c r="B35" s="27">
        <v>58</v>
      </c>
      <c r="C35" s="27">
        <v>35</v>
      </c>
      <c r="D35" s="27">
        <v>50</v>
      </c>
      <c r="E35" s="27">
        <v>86</v>
      </c>
      <c r="F35" s="27">
        <v>26</v>
      </c>
      <c r="G35" s="121">
        <f t="shared" si="13"/>
        <v>255</v>
      </c>
      <c r="H35" s="60">
        <v>0</v>
      </c>
      <c r="I35" s="62">
        <v>0</v>
      </c>
      <c r="J35" s="62">
        <v>1</v>
      </c>
      <c r="K35" s="62">
        <v>0</v>
      </c>
      <c r="L35" s="61">
        <v>0</v>
      </c>
      <c r="M35" s="335">
        <f t="shared" si="14"/>
        <v>1</v>
      </c>
      <c r="N35" s="78">
        <f t="shared" si="3"/>
        <v>0.39215686274509803</v>
      </c>
      <c r="O35" s="62">
        <v>0</v>
      </c>
      <c r="P35" s="62">
        <v>1</v>
      </c>
      <c r="Q35" s="62">
        <v>4</v>
      </c>
      <c r="R35" s="62">
        <v>6</v>
      </c>
      <c r="S35" s="62">
        <v>1</v>
      </c>
      <c r="T35" s="335">
        <f t="shared" si="15"/>
        <v>12</v>
      </c>
      <c r="U35" s="92">
        <f t="shared" si="0"/>
        <v>4.7058823529411766</v>
      </c>
      <c r="V35" s="62">
        <v>0</v>
      </c>
      <c r="W35" s="62">
        <v>0</v>
      </c>
      <c r="X35" s="62">
        <v>1</v>
      </c>
      <c r="Y35" s="62">
        <v>1</v>
      </c>
      <c r="Z35" s="62">
        <v>0</v>
      </c>
      <c r="AA35" s="335">
        <f t="shared" si="16"/>
        <v>2</v>
      </c>
      <c r="AB35" s="92">
        <f t="shared" si="1"/>
        <v>0.78431372549019607</v>
      </c>
      <c r="AC35" s="335">
        <v>2</v>
      </c>
      <c r="AD35" s="335">
        <v>1</v>
      </c>
      <c r="AE35" s="335">
        <v>32</v>
      </c>
    </row>
    <row r="36" spans="1:32" ht="15" thickBot="1" x14ac:dyDescent="0.25">
      <c r="A36" s="12" t="s">
        <v>26</v>
      </c>
      <c r="B36" s="29">
        <v>71086</v>
      </c>
      <c r="C36" s="29">
        <v>44294</v>
      </c>
      <c r="D36" s="27">
        <v>80184</v>
      </c>
      <c r="E36" s="29">
        <v>84881</v>
      </c>
      <c r="F36" s="29">
        <v>58835</v>
      </c>
      <c r="G36" s="121">
        <f t="shared" si="13"/>
        <v>339280</v>
      </c>
      <c r="H36" s="67">
        <v>89</v>
      </c>
      <c r="I36" s="68">
        <v>61</v>
      </c>
      <c r="J36" s="68">
        <v>155</v>
      </c>
      <c r="K36" s="68">
        <v>84</v>
      </c>
      <c r="L36" s="63">
        <v>48</v>
      </c>
      <c r="M36" s="335">
        <f t="shared" si="14"/>
        <v>437</v>
      </c>
      <c r="N36" s="96">
        <f t="shared" si="3"/>
        <v>0.12880216929969346</v>
      </c>
      <c r="O36" s="68">
        <v>150</v>
      </c>
      <c r="P36" s="68">
        <v>79</v>
      </c>
      <c r="Q36" s="68">
        <v>234</v>
      </c>
      <c r="R36" s="68">
        <v>177</v>
      </c>
      <c r="S36" s="68">
        <v>67</v>
      </c>
      <c r="T36" s="335">
        <f t="shared" si="15"/>
        <v>707</v>
      </c>
      <c r="U36" s="142">
        <f t="shared" si="0"/>
        <v>0.20838245696769631</v>
      </c>
      <c r="V36" s="68">
        <v>65</v>
      </c>
      <c r="W36" s="68">
        <v>23</v>
      </c>
      <c r="X36" s="68">
        <v>62</v>
      </c>
      <c r="Y36" s="68">
        <v>51</v>
      </c>
      <c r="Z36" s="68">
        <v>32</v>
      </c>
      <c r="AA36" s="335">
        <f t="shared" si="16"/>
        <v>233</v>
      </c>
      <c r="AB36" s="93">
        <f t="shared" si="1"/>
        <v>6.867484083942467E-2</v>
      </c>
      <c r="AC36" s="335">
        <v>156</v>
      </c>
      <c r="AD36" s="335">
        <v>41</v>
      </c>
      <c r="AE36" s="335">
        <v>2453</v>
      </c>
    </row>
    <row r="37" spans="1:32" ht="15.75" thickBot="1" x14ac:dyDescent="0.3">
      <c r="A37" s="13" t="s">
        <v>21</v>
      </c>
      <c r="B37" s="30">
        <f t="shared" ref="B37:L37" si="17">SUM(B28:B36)</f>
        <v>105411</v>
      </c>
      <c r="C37" s="30">
        <f t="shared" si="17"/>
        <v>63792</v>
      </c>
      <c r="D37" s="30">
        <f t="shared" si="17"/>
        <v>111620</v>
      </c>
      <c r="E37" s="30">
        <f t="shared" si="17"/>
        <v>118438</v>
      </c>
      <c r="F37" s="30">
        <f t="shared" si="17"/>
        <v>85795</v>
      </c>
      <c r="G37" s="122">
        <f>SUM(G28:G36)</f>
        <v>485056</v>
      </c>
      <c r="H37" s="71">
        <f t="shared" si="17"/>
        <v>147</v>
      </c>
      <c r="I37" s="72">
        <f t="shared" si="17"/>
        <v>82</v>
      </c>
      <c r="J37" s="72">
        <f t="shared" si="17"/>
        <v>227</v>
      </c>
      <c r="K37" s="72">
        <f t="shared" si="17"/>
        <v>136</v>
      </c>
      <c r="L37" s="72">
        <f t="shared" si="17"/>
        <v>65</v>
      </c>
      <c r="M37" s="337">
        <f>SUM(M28:M36)</f>
        <v>657</v>
      </c>
      <c r="N37" s="118">
        <f t="shared" si="3"/>
        <v>0.1354482781369574</v>
      </c>
      <c r="O37" s="116">
        <f t="shared" ref="O37:T37" si="18">SUM(O28:O36)</f>
        <v>228</v>
      </c>
      <c r="P37" s="116">
        <f t="shared" si="18"/>
        <v>118</v>
      </c>
      <c r="Q37" s="116">
        <f t="shared" si="18"/>
        <v>347</v>
      </c>
      <c r="R37" s="116">
        <f t="shared" si="18"/>
        <v>283</v>
      </c>
      <c r="S37" s="116">
        <f t="shared" si="18"/>
        <v>123</v>
      </c>
      <c r="T37" s="120">
        <f t="shared" si="18"/>
        <v>1099</v>
      </c>
      <c r="U37" s="91">
        <f t="shared" si="0"/>
        <v>0.22657177727932445</v>
      </c>
      <c r="V37" s="116">
        <f t="shared" ref="V37:AA37" si="19">SUM(V28:V36)</f>
        <v>98</v>
      </c>
      <c r="W37" s="116">
        <f t="shared" si="19"/>
        <v>31</v>
      </c>
      <c r="X37" s="116">
        <f t="shared" si="19"/>
        <v>91</v>
      </c>
      <c r="Y37" s="116">
        <f t="shared" si="19"/>
        <v>75</v>
      </c>
      <c r="Z37" s="116">
        <f t="shared" si="19"/>
        <v>49</v>
      </c>
      <c r="AA37" s="116">
        <f t="shared" si="19"/>
        <v>344</v>
      </c>
      <c r="AB37" s="94">
        <f t="shared" si="1"/>
        <v>7.0919646391344501E-2</v>
      </c>
      <c r="AC37" s="132">
        <f>SUM(AC28:AC36)</f>
        <v>271</v>
      </c>
      <c r="AD37" s="115">
        <f>SUM(AD28:AD36)</f>
        <v>71</v>
      </c>
      <c r="AE37" s="117">
        <f>SUM(AE28:AE36)</f>
        <v>3483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340"/>
      <c r="AC38" s="340"/>
      <c r="AD38" s="340"/>
      <c r="AE38" s="340"/>
    </row>
    <row r="39" spans="1:32" ht="15.75" thickBot="1" x14ac:dyDescent="0.3">
      <c r="A39" s="15" t="s">
        <v>28</v>
      </c>
      <c r="B39" s="34"/>
      <c r="C39" s="34"/>
      <c r="D39" s="34"/>
      <c r="E39" s="34"/>
      <c r="F39" s="34"/>
      <c r="G39" s="126"/>
      <c r="H39" s="80"/>
      <c r="I39" s="80"/>
      <c r="J39" s="80"/>
      <c r="K39" s="80"/>
      <c r="L39" s="81"/>
      <c r="M39" s="82"/>
      <c r="N39" s="129"/>
      <c r="O39" s="80"/>
      <c r="P39" s="80"/>
      <c r="Q39" s="80"/>
      <c r="R39" s="80"/>
      <c r="S39" s="80"/>
      <c r="T39" s="79"/>
      <c r="U39" s="131"/>
      <c r="AA39" s="340"/>
      <c r="AC39" s="340"/>
      <c r="AD39" s="340"/>
      <c r="AE39" s="340"/>
    </row>
    <row r="40" spans="1:32" ht="15.75" thickBot="1" x14ac:dyDescent="0.3">
      <c r="A40" s="7" t="s">
        <v>41</v>
      </c>
      <c r="B40" s="22">
        <v>141</v>
      </c>
      <c r="C40" s="22">
        <v>99</v>
      </c>
      <c r="D40" s="22">
        <v>132</v>
      </c>
      <c r="E40" s="22">
        <v>113</v>
      </c>
      <c r="F40" s="22">
        <v>65</v>
      </c>
      <c r="G40" s="127">
        <f>SUM(B40:F40)</f>
        <v>550</v>
      </c>
      <c r="H40" s="44">
        <v>2</v>
      </c>
      <c r="I40" s="45">
        <v>0</v>
      </c>
      <c r="J40" s="45">
        <v>0</v>
      </c>
      <c r="K40" s="45">
        <v>0</v>
      </c>
      <c r="L40" s="83">
        <v>1</v>
      </c>
      <c r="M40" s="335">
        <f>SUM(H40:L40)</f>
        <v>3</v>
      </c>
      <c r="N40" s="144">
        <f t="shared" si="3"/>
        <v>0.54545454545454541</v>
      </c>
      <c r="O40" s="45">
        <v>0</v>
      </c>
      <c r="P40" s="45">
        <v>0</v>
      </c>
      <c r="Q40" s="45">
        <v>1</v>
      </c>
      <c r="R40" s="45">
        <v>0</v>
      </c>
      <c r="S40" s="45">
        <v>4</v>
      </c>
      <c r="T40" s="335">
        <f>SUM(O40:S40)</f>
        <v>5</v>
      </c>
      <c r="U40" s="133">
        <f t="shared" si="0"/>
        <v>0.90909090909090906</v>
      </c>
      <c r="V40">
        <v>0</v>
      </c>
      <c r="W40">
        <v>0</v>
      </c>
      <c r="X40">
        <v>4</v>
      </c>
      <c r="Y40">
        <v>0</v>
      </c>
      <c r="Z40">
        <v>0</v>
      </c>
      <c r="AA40" s="335">
        <f>SUM(V40:Z40)</f>
        <v>4</v>
      </c>
      <c r="AB40" s="91">
        <f t="shared" si="1"/>
        <v>0.72727272727272729</v>
      </c>
      <c r="AC40" s="343">
        <v>0</v>
      </c>
      <c r="AD40" s="343">
        <v>0</v>
      </c>
      <c r="AE40" s="343">
        <v>1</v>
      </c>
    </row>
    <row r="41" spans="1:32" ht="15.75" thickBot="1" x14ac:dyDescent="0.3">
      <c r="A41" s="12" t="s">
        <v>27</v>
      </c>
      <c r="B41" s="29">
        <v>57256</v>
      </c>
      <c r="C41" s="29">
        <v>46007</v>
      </c>
      <c r="D41" s="35">
        <v>46991</v>
      </c>
      <c r="E41" s="29">
        <v>57996</v>
      </c>
      <c r="F41" s="29">
        <v>67552</v>
      </c>
      <c r="G41" s="127">
        <f>SUM(B41:F41)</f>
        <v>275802</v>
      </c>
      <c r="H41" s="67">
        <v>20</v>
      </c>
      <c r="I41" s="68">
        <v>14</v>
      </c>
      <c r="J41" s="68">
        <v>26</v>
      </c>
      <c r="K41" s="68">
        <v>18</v>
      </c>
      <c r="L41" s="63">
        <v>14</v>
      </c>
      <c r="M41" s="335">
        <f>SUM(H41:L41)</f>
        <v>92</v>
      </c>
      <c r="N41" s="145">
        <f t="shared" si="3"/>
        <v>3.3357263544136734E-2</v>
      </c>
      <c r="O41" s="68">
        <v>13</v>
      </c>
      <c r="P41" s="68">
        <v>11</v>
      </c>
      <c r="Q41" s="68">
        <v>17</v>
      </c>
      <c r="R41" s="68">
        <v>22</v>
      </c>
      <c r="S41" s="68">
        <v>11</v>
      </c>
      <c r="T41" s="335">
        <f>SUM(O41:S41)</f>
        <v>74</v>
      </c>
      <c r="U41" s="93">
        <f t="shared" si="0"/>
        <v>2.6830842415936071E-2</v>
      </c>
      <c r="V41">
        <v>13</v>
      </c>
      <c r="W41">
        <v>1</v>
      </c>
      <c r="X41">
        <v>7</v>
      </c>
      <c r="Y41">
        <v>1</v>
      </c>
      <c r="Z41">
        <v>6</v>
      </c>
      <c r="AA41" s="335">
        <f>SUM(V41:Z41)</f>
        <v>28</v>
      </c>
      <c r="AB41" s="93">
        <f t="shared" si="1"/>
        <v>1.0152210643867702E-2</v>
      </c>
      <c r="AC41" s="344">
        <v>15</v>
      </c>
      <c r="AD41" s="344">
        <v>11</v>
      </c>
      <c r="AE41" s="344">
        <v>282</v>
      </c>
    </row>
    <row r="42" spans="1:32" ht="15.75" thickBot="1" x14ac:dyDescent="0.3">
      <c r="A42" s="13" t="s">
        <v>21</v>
      </c>
      <c r="B42" s="30">
        <f t="shared" ref="B42:M42" si="20">SUM(B40:B41)</f>
        <v>57397</v>
      </c>
      <c r="C42" s="30">
        <f t="shared" si="20"/>
        <v>46106</v>
      </c>
      <c r="D42" s="30">
        <f t="shared" si="20"/>
        <v>47123</v>
      </c>
      <c r="E42" s="30">
        <f t="shared" si="20"/>
        <v>58109</v>
      </c>
      <c r="F42" s="30">
        <f t="shared" si="20"/>
        <v>67617</v>
      </c>
      <c r="G42" s="122">
        <f t="shared" si="20"/>
        <v>276352</v>
      </c>
      <c r="H42" s="120">
        <f t="shared" si="20"/>
        <v>22</v>
      </c>
      <c r="I42" s="120">
        <f t="shared" si="20"/>
        <v>14</v>
      </c>
      <c r="J42" s="120">
        <f t="shared" si="20"/>
        <v>26</v>
      </c>
      <c r="K42" s="120">
        <f t="shared" si="20"/>
        <v>18</v>
      </c>
      <c r="L42" s="120">
        <f t="shared" si="20"/>
        <v>15</v>
      </c>
      <c r="M42" s="120">
        <f t="shared" si="20"/>
        <v>95</v>
      </c>
      <c r="N42" s="149">
        <f t="shared" si="3"/>
        <v>3.437644742936545E-2</v>
      </c>
      <c r="O42" s="72">
        <f t="shared" ref="O42:T42" si="21">SUM(O40:O41)</f>
        <v>13</v>
      </c>
      <c r="P42" s="72">
        <f t="shared" si="21"/>
        <v>11</v>
      </c>
      <c r="Q42" s="72">
        <f t="shared" si="21"/>
        <v>18</v>
      </c>
      <c r="R42" s="72">
        <f t="shared" si="21"/>
        <v>22</v>
      </c>
      <c r="S42" s="72">
        <f t="shared" si="21"/>
        <v>15</v>
      </c>
      <c r="T42" s="345">
        <f t="shared" si="21"/>
        <v>79</v>
      </c>
      <c r="U42" s="94">
        <f t="shared" si="0"/>
        <v>2.8586729967577582E-2</v>
      </c>
      <c r="V42" s="108">
        <f t="shared" ref="V42:AA42" si="22">SUM(V40:V41)</f>
        <v>13</v>
      </c>
      <c r="W42" s="108">
        <f t="shared" si="22"/>
        <v>1</v>
      </c>
      <c r="X42" s="108">
        <f t="shared" si="22"/>
        <v>11</v>
      </c>
      <c r="Y42" s="108">
        <f t="shared" si="22"/>
        <v>1</v>
      </c>
      <c r="Z42" s="108">
        <f t="shared" si="22"/>
        <v>6</v>
      </c>
      <c r="AA42" s="346">
        <f t="shared" si="22"/>
        <v>32</v>
      </c>
      <c r="AB42" s="94">
        <f t="shared" si="1"/>
        <v>1.1579434923575729E-2</v>
      </c>
      <c r="AC42" s="115">
        <f>SUM(AC40:AC41)</f>
        <v>15</v>
      </c>
      <c r="AD42" s="132">
        <f>SUM(AD40:AD41)</f>
        <v>11</v>
      </c>
      <c r="AE42" s="132">
        <f>SUM(AE40:AE41)</f>
        <v>283</v>
      </c>
    </row>
    <row r="43" spans="1:32" ht="46.5" thickBot="1" x14ac:dyDescent="0.3">
      <c r="A43" s="134" t="s">
        <v>49</v>
      </c>
      <c r="B43" s="135" t="s">
        <v>38</v>
      </c>
      <c r="C43" s="136"/>
      <c r="D43" s="137" t="s">
        <v>39</v>
      </c>
      <c r="E43" s="138"/>
      <c r="F43" s="138"/>
      <c r="G43" s="139">
        <f>G11+G25+G37+G42</f>
        <v>778049</v>
      </c>
      <c r="H43" s="139">
        <f t="shared" ref="H43:AC43" si="23">H11+H25+H37+H42</f>
        <v>182</v>
      </c>
      <c r="I43" s="139">
        <f t="shared" si="23"/>
        <v>98</v>
      </c>
      <c r="J43" s="139">
        <f t="shared" si="23"/>
        <v>269</v>
      </c>
      <c r="K43" s="139">
        <f t="shared" si="23"/>
        <v>162</v>
      </c>
      <c r="L43" s="139">
        <f t="shared" si="23"/>
        <v>87</v>
      </c>
      <c r="M43" s="141">
        <f t="shared" si="23"/>
        <v>798</v>
      </c>
      <c r="N43" s="146">
        <f t="shared" si="3"/>
        <v>0.10256423438626616</v>
      </c>
      <c r="O43" s="147">
        <f t="shared" si="23"/>
        <v>256</v>
      </c>
      <c r="P43" s="148">
        <f t="shared" si="23"/>
        <v>137</v>
      </c>
      <c r="Q43" s="148">
        <f t="shared" si="23"/>
        <v>388</v>
      </c>
      <c r="R43" s="148">
        <f t="shared" si="23"/>
        <v>342</v>
      </c>
      <c r="S43" s="148">
        <f t="shared" si="23"/>
        <v>147</v>
      </c>
      <c r="T43" s="148">
        <f t="shared" si="23"/>
        <v>1270</v>
      </c>
      <c r="U43" s="94">
        <f t="shared" si="0"/>
        <v>0.16322879407338098</v>
      </c>
      <c r="V43" s="140">
        <f t="shared" si="23"/>
        <v>115</v>
      </c>
      <c r="W43" s="140">
        <f t="shared" si="23"/>
        <v>33</v>
      </c>
      <c r="X43" s="140">
        <f t="shared" si="23"/>
        <v>106</v>
      </c>
      <c r="Y43" s="140">
        <f t="shared" si="23"/>
        <v>77</v>
      </c>
      <c r="Z43" s="140">
        <f t="shared" si="23"/>
        <v>64</v>
      </c>
      <c r="AA43" s="140">
        <f t="shared" si="23"/>
        <v>395</v>
      </c>
      <c r="AB43" s="94">
        <f t="shared" si="1"/>
        <v>5.0768010755106681E-2</v>
      </c>
      <c r="AC43" s="140">
        <f t="shared" si="23"/>
        <v>303</v>
      </c>
      <c r="AD43" s="140">
        <f>AD11+AD25+AD37+AD42</f>
        <v>87</v>
      </c>
      <c r="AE43" s="140">
        <f>AE11+AE25+AE37+AE42</f>
        <v>4110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7"/>
  <dimension ref="A1:K105"/>
  <sheetViews>
    <sheetView topLeftCell="C2" zoomScaleNormal="100" workbookViewId="0">
      <selection activeCell="J45" sqref="J45"/>
    </sheetView>
  </sheetViews>
  <sheetFormatPr baseColWidth="10" defaultRowHeight="12.75" x14ac:dyDescent="0.2"/>
  <cols>
    <col min="1" max="1" width="15.42578125" style="259" customWidth="1"/>
    <col min="2" max="4" width="11.42578125" style="259" customWidth="1"/>
    <col min="5" max="5" width="24.5703125" style="259" customWidth="1"/>
    <col min="6" max="249" width="11.42578125" style="259"/>
    <col min="250" max="250" width="15.42578125" style="259" customWidth="1"/>
    <col min="251" max="253" width="0" style="259" hidden="1" customWidth="1"/>
    <col min="254" max="254" width="24.5703125" style="259" customWidth="1"/>
    <col min="255" max="259" width="0" style="259" hidden="1" customWidth="1"/>
    <col min="260" max="505" width="11.42578125" style="259"/>
    <col min="506" max="506" width="15.42578125" style="259" customWidth="1"/>
    <col min="507" max="509" width="0" style="259" hidden="1" customWidth="1"/>
    <col min="510" max="510" width="24.5703125" style="259" customWidth="1"/>
    <col min="511" max="515" width="0" style="259" hidden="1" customWidth="1"/>
    <col min="516" max="761" width="11.42578125" style="259"/>
    <col min="762" max="762" width="15.42578125" style="259" customWidth="1"/>
    <col min="763" max="765" width="0" style="259" hidden="1" customWidth="1"/>
    <col min="766" max="766" width="24.5703125" style="259" customWidth="1"/>
    <col min="767" max="771" width="0" style="259" hidden="1" customWidth="1"/>
    <col min="772" max="1017" width="11.42578125" style="259"/>
    <col min="1018" max="1018" width="15.42578125" style="259" customWidth="1"/>
    <col min="1019" max="1021" width="0" style="259" hidden="1" customWidth="1"/>
    <col min="1022" max="1022" width="24.5703125" style="259" customWidth="1"/>
    <col min="1023" max="1027" width="0" style="259" hidden="1" customWidth="1"/>
    <col min="1028" max="1273" width="11.42578125" style="259"/>
    <col min="1274" max="1274" width="15.42578125" style="259" customWidth="1"/>
    <col min="1275" max="1277" width="0" style="259" hidden="1" customWidth="1"/>
    <col min="1278" max="1278" width="24.5703125" style="259" customWidth="1"/>
    <col min="1279" max="1283" width="0" style="259" hidden="1" customWidth="1"/>
    <col min="1284" max="1529" width="11.42578125" style="259"/>
    <col min="1530" max="1530" width="15.42578125" style="259" customWidth="1"/>
    <col min="1531" max="1533" width="0" style="259" hidden="1" customWidth="1"/>
    <col min="1534" max="1534" width="24.5703125" style="259" customWidth="1"/>
    <col min="1535" max="1539" width="0" style="259" hidden="1" customWidth="1"/>
    <col min="1540" max="1785" width="11.42578125" style="259"/>
    <col min="1786" max="1786" width="15.42578125" style="259" customWidth="1"/>
    <col min="1787" max="1789" width="0" style="259" hidden="1" customWidth="1"/>
    <col min="1790" max="1790" width="24.5703125" style="259" customWidth="1"/>
    <col min="1791" max="1795" width="0" style="259" hidden="1" customWidth="1"/>
    <col min="1796" max="2041" width="11.42578125" style="259"/>
    <col min="2042" max="2042" width="15.42578125" style="259" customWidth="1"/>
    <col min="2043" max="2045" width="0" style="259" hidden="1" customWidth="1"/>
    <col min="2046" max="2046" width="24.5703125" style="259" customWidth="1"/>
    <col min="2047" max="2051" width="0" style="259" hidden="1" customWidth="1"/>
    <col min="2052" max="2297" width="11.42578125" style="259"/>
    <col min="2298" max="2298" width="15.42578125" style="259" customWidth="1"/>
    <col min="2299" max="2301" width="0" style="259" hidden="1" customWidth="1"/>
    <col min="2302" max="2302" width="24.5703125" style="259" customWidth="1"/>
    <col min="2303" max="2307" width="0" style="259" hidden="1" customWidth="1"/>
    <col min="2308" max="2553" width="11.42578125" style="259"/>
    <col min="2554" max="2554" width="15.42578125" style="259" customWidth="1"/>
    <col min="2555" max="2557" width="0" style="259" hidden="1" customWidth="1"/>
    <col min="2558" max="2558" width="24.5703125" style="259" customWidth="1"/>
    <col min="2559" max="2563" width="0" style="259" hidden="1" customWidth="1"/>
    <col min="2564" max="2809" width="11.42578125" style="259"/>
    <col min="2810" max="2810" width="15.42578125" style="259" customWidth="1"/>
    <col min="2811" max="2813" width="0" style="259" hidden="1" customWidth="1"/>
    <col min="2814" max="2814" width="24.5703125" style="259" customWidth="1"/>
    <col min="2815" max="2819" width="0" style="259" hidden="1" customWidth="1"/>
    <col min="2820" max="3065" width="11.42578125" style="259"/>
    <col min="3066" max="3066" width="15.42578125" style="259" customWidth="1"/>
    <col min="3067" max="3069" width="0" style="259" hidden="1" customWidth="1"/>
    <col min="3070" max="3070" width="24.5703125" style="259" customWidth="1"/>
    <col min="3071" max="3075" width="0" style="259" hidden="1" customWidth="1"/>
    <col min="3076" max="3321" width="11.42578125" style="259"/>
    <col min="3322" max="3322" width="15.42578125" style="259" customWidth="1"/>
    <col min="3323" max="3325" width="0" style="259" hidden="1" customWidth="1"/>
    <col min="3326" max="3326" width="24.5703125" style="259" customWidth="1"/>
    <col min="3327" max="3331" width="0" style="259" hidden="1" customWidth="1"/>
    <col min="3332" max="3577" width="11.42578125" style="259"/>
    <col min="3578" max="3578" width="15.42578125" style="259" customWidth="1"/>
    <col min="3579" max="3581" width="0" style="259" hidden="1" customWidth="1"/>
    <col min="3582" max="3582" width="24.5703125" style="259" customWidth="1"/>
    <col min="3583" max="3587" width="0" style="259" hidden="1" customWidth="1"/>
    <col min="3588" max="3833" width="11.42578125" style="259"/>
    <col min="3834" max="3834" width="15.42578125" style="259" customWidth="1"/>
    <col min="3835" max="3837" width="0" style="259" hidden="1" customWidth="1"/>
    <col min="3838" max="3838" width="24.5703125" style="259" customWidth="1"/>
    <col min="3839" max="3843" width="0" style="259" hidden="1" customWidth="1"/>
    <col min="3844" max="4089" width="11.42578125" style="259"/>
    <col min="4090" max="4090" width="15.42578125" style="259" customWidth="1"/>
    <col min="4091" max="4093" width="0" style="259" hidden="1" customWidth="1"/>
    <col min="4094" max="4094" width="24.5703125" style="259" customWidth="1"/>
    <col min="4095" max="4099" width="0" style="259" hidden="1" customWidth="1"/>
    <col min="4100" max="4345" width="11.42578125" style="259"/>
    <col min="4346" max="4346" width="15.42578125" style="259" customWidth="1"/>
    <col min="4347" max="4349" width="0" style="259" hidden="1" customWidth="1"/>
    <col min="4350" max="4350" width="24.5703125" style="259" customWidth="1"/>
    <col min="4351" max="4355" width="0" style="259" hidden="1" customWidth="1"/>
    <col min="4356" max="4601" width="11.42578125" style="259"/>
    <col min="4602" max="4602" width="15.42578125" style="259" customWidth="1"/>
    <col min="4603" max="4605" width="0" style="259" hidden="1" customWidth="1"/>
    <col min="4606" max="4606" width="24.5703125" style="259" customWidth="1"/>
    <col min="4607" max="4611" width="0" style="259" hidden="1" customWidth="1"/>
    <col min="4612" max="4857" width="11.42578125" style="259"/>
    <col min="4858" max="4858" width="15.42578125" style="259" customWidth="1"/>
    <col min="4859" max="4861" width="0" style="259" hidden="1" customWidth="1"/>
    <col min="4862" max="4862" width="24.5703125" style="259" customWidth="1"/>
    <col min="4863" max="4867" width="0" style="259" hidden="1" customWidth="1"/>
    <col min="4868" max="5113" width="11.42578125" style="259"/>
    <col min="5114" max="5114" width="15.42578125" style="259" customWidth="1"/>
    <col min="5115" max="5117" width="0" style="259" hidden="1" customWidth="1"/>
    <col min="5118" max="5118" width="24.5703125" style="259" customWidth="1"/>
    <col min="5119" max="5123" width="0" style="259" hidden="1" customWidth="1"/>
    <col min="5124" max="5369" width="11.42578125" style="259"/>
    <col min="5370" max="5370" width="15.42578125" style="259" customWidth="1"/>
    <col min="5371" max="5373" width="0" style="259" hidden="1" customWidth="1"/>
    <col min="5374" max="5374" width="24.5703125" style="259" customWidth="1"/>
    <col min="5375" max="5379" width="0" style="259" hidden="1" customWidth="1"/>
    <col min="5380" max="5625" width="11.42578125" style="259"/>
    <col min="5626" max="5626" width="15.42578125" style="259" customWidth="1"/>
    <col min="5627" max="5629" width="0" style="259" hidden="1" customWidth="1"/>
    <col min="5630" max="5630" width="24.5703125" style="259" customWidth="1"/>
    <col min="5631" max="5635" width="0" style="259" hidden="1" customWidth="1"/>
    <col min="5636" max="5881" width="11.42578125" style="259"/>
    <col min="5882" max="5882" width="15.42578125" style="259" customWidth="1"/>
    <col min="5883" max="5885" width="0" style="259" hidden="1" customWidth="1"/>
    <col min="5886" max="5886" width="24.5703125" style="259" customWidth="1"/>
    <col min="5887" max="5891" width="0" style="259" hidden="1" customWidth="1"/>
    <col min="5892" max="6137" width="11.42578125" style="259"/>
    <col min="6138" max="6138" width="15.42578125" style="259" customWidth="1"/>
    <col min="6139" max="6141" width="0" style="259" hidden="1" customWidth="1"/>
    <col min="6142" max="6142" width="24.5703125" style="259" customWidth="1"/>
    <col min="6143" max="6147" width="0" style="259" hidden="1" customWidth="1"/>
    <col min="6148" max="6393" width="11.42578125" style="259"/>
    <col min="6394" max="6394" width="15.42578125" style="259" customWidth="1"/>
    <col min="6395" max="6397" width="0" style="259" hidden="1" customWidth="1"/>
    <col min="6398" max="6398" width="24.5703125" style="259" customWidth="1"/>
    <col min="6399" max="6403" width="0" style="259" hidden="1" customWidth="1"/>
    <col min="6404" max="6649" width="11.42578125" style="259"/>
    <col min="6650" max="6650" width="15.42578125" style="259" customWidth="1"/>
    <col min="6651" max="6653" width="0" style="259" hidden="1" customWidth="1"/>
    <col min="6654" max="6654" width="24.5703125" style="259" customWidth="1"/>
    <col min="6655" max="6659" width="0" style="259" hidden="1" customWidth="1"/>
    <col min="6660" max="6905" width="11.42578125" style="259"/>
    <col min="6906" max="6906" width="15.42578125" style="259" customWidth="1"/>
    <col min="6907" max="6909" width="0" style="259" hidden="1" customWidth="1"/>
    <col min="6910" max="6910" width="24.5703125" style="259" customWidth="1"/>
    <col min="6911" max="6915" width="0" style="259" hidden="1" customWidth="1"/>
    <col min="6916" max="7161" width="11.42578125" style="259"/>
    <col min="7162" max="7162" width="15.42578125" style="259" customWidth="1"/>
    <col min="7163" max="7165" width="0" style="259" hidden="1" customWidth="1"/>
    <col min="7166" max="7166" width="24.5703125" style="259" customWidth="1"/>
    <col min="7167" max="7171" width="0" style="259" hidden="1" customWidth="1"/>
    <col min="7172" max="7417" width="11.42578125" style="259"/>
    <col min="7418" max="7418" width="15.42578125" style="259" customWidth="1"/>
    <col min="7419" max="7421" width="0" style="259" hidden="1" customWidth="1"/>
    <col min="7422" max="7422" width="24.5703125" style="259" customWidth="1"/>
    <col min="7423" max="7427" width="0" style="259" hidden="1" customWidth="1"/>
    <col min="7428" max="7673" width="11.42578125" style="259"/>
    <col min="7674" max="7674" width="15.42578125" style="259" customWidth="1"/>
    <col min="7675" max="7677" width="0" style="259" hidden="1" customWidth="1"/>
    <col min="7678" max="7678" width="24.5703125" style="259" customWidth="1"/>
    <col min="7679" max="7683" width="0" style="259" hidden="1" customWidth="1"/>
    <col min="7684" max="7929" width="11.42578125" style="259"/>
    <col min="7930" max="7930" width="15.42578125" style="259" customWidth="1"/>
    <col min="7931" max="7933" width="0" style="259" hidden="1" customWidth="1"/>
    <col min="7934" max="7934" width="24.5703125" style="259" customWidth="1"/>
    <col min="7935" max="7939" width="0" style="259" hidden="1" customWidth="1"/>
    <col min="7940" max="8185" width="11.42578125" style="259"/>
    <col min="8186" max="8186" width="15.42578125" style="259" customWidth="1"/>
    <col min="8187" max="8189" width="0" style="259" hidden="1" customWidth="1"/>
    <col min="8190" max="8190" width="24.5703125" style="259" customWidth="1"/>
    <col min="8191" max="8195" width="0" style="259" hidden="1" customWidth="1"/>
    <col min="8196" max="8441" width="11.42578125" style="259"/>
    <col min="8442" max="8442" width="15.42578125" style="259" customWidth="1"/>
    <col min="8443" max="8445" width="0" style="259" hidden="1" customWidth="1"/>
    <col min="8446" max="8446" width="24.5703125" style="259" customWidth="1"/>
    <col min="8447" max="8451" width="0" style="259" hidden="1" customWidth="1"/>
    <col min="8452" max="8697" width="11.42578125" style="259"/>
    <col min="8698" max="8698" width="15.42578125" style="259" customWidth="1"/>
    <col min="8699" max="8701" width="0" style="259" hidden="1" customWidth="1"/>
    <col min="8702" max="8702" width="24.5703125" style="259" customWidth="1"/>
    <col min="8703" max="8707" width="0" style="259" hidden="1" customWidth="1"/>
    <col min="8708" max="8953" width="11.42578125" style="259"/>
    <col min="8954" max="8954" width="15.42578125" style="259" customWidth="1"/>
    <col min="8955" max="8957" width="0" style="259" hidden="1" customWidth="1"/>
    <col min="8958" max="8958" width="24.5703125" style="259" customWidth="1"/>
    <col min="8959" max="8963" width="0" style="259" hidden="1" customWidth="1"/>
    <col min="8964" max="9209" width="11.42578125" style="259"/>
    <col min="9210" max="9210" width="15.42578125" style="259" customWidth="1"/>
    <col min="9211" max="9213" width="0" style="259" hidden="1" customWidth="1"/>
    <col min="9214" max="9214" width="24.5703125" style="259" customWidth="1"/>
    <col min="9215" max="9219" width="0" style="259" hidden="1" customWidth="1"/>
    <col min="9220" max="9465" width="11.42578125" style="259"/>
    <col min="9466" max="9466" width="15.42578125" style="259" customWidth="1"/>
    <col min="9467" max="9469" width="0" style="259" hidden="1" customWidth="1"/>
    <col min="9470" max="9470" width="24.5703125" style="259" customWidth="1"/>
    <col min="9471" max="9475" width="0" style="259" hidden="1" customWidth="1"/>
    <col min="9476" max="9721" width="11.42578125" style="259"/>
    <col min="9722" max="9722" width="15.42578125" style="259" customWidth="1"/>
    <col min="9723" max="9725" width="0" style="259" hidden="1" customWidth="1"/>
    <col min="9726" max="9726" width="24.5703125" style="259" customWidth="1"/>
    <col min="9727" max="9731" width="0" style="259" hidden="1" customWidth="1"/>
    <col min="9732" max="9977" width="11.42578125" style="259"/>
    <col min="9978" max="9978" width="15.42578125" style="259" customWidth="1"/>
    <col min="9979" max="9981" width="0" style="259" hidden="1" customWidth="1"/>
    <col min="9982" max="9982" width="24.5703125" style="259" customWidth="1"/>
    <col min="9983" max="9987" width="0" style="259" hidden="1" customWidth="1"/>
    <col min="9988" max="10233" width="11.42578125" style="259"/>
    <col min="10234" max="10234" width="15.42578125" style="259" customWidth="1"/>
    <col min="10235" max="10237" width="0" style="259" hidden="1" customWidth="1"/>
    <col min="10238" max="10238" width="24.5703125" style="259" customWidth="1"/>
    <col min="10239" max="10243" width="0" style="259" hidden="1" customWidth="1"/>
    <col min="10244" max="10489" width="11.42578125" style="259"/>
    <col min="10490" max="10490" width="15.42578125" style="259" customWidth="1"/>
    <col min="10491" max="10493" width="0" style="259" hidden="1" customWidth="1"/>
    <col min="10494" max="10494" width="24.5703125" style="259" customWidth="1"/>
    <col min="10495" max="10499" width="0" style="259" hidden="1" customWidth="1"/>
    <col min="10500" max="10745" width="11.42578125" style="259"/>
    <col min="10746" max="10746" width="15.42578125" style="259" customWidth="1"/>
    <col min="10747" max="10749" width="0" style="259" hidden="1" customWidth="1"/>
    <col min="10750" max="10750" width="24.5703125" style="259" customWidth="1"/>
    <col min="10751" max="10755" width="0" style="259" hidden="1" customWidth="1"/>
    <col min="10756" max="11001" width="11.42578125" style="259"/>
    <col min="11002" max="11002" width="15.42578125" style="259" customWidth="1"/>
    <col min="11003" max="11005" width="0" style="259" hidden="1" customWidth="1"/>
    <col min="11006" max="11006" width="24.5703125" style="259" customWidth="1"/>
    <col min="11007" max="11011" width="0" style="259" hidden="1" customWidth="1"/>
    <col min="11012" max="11257" width="11.42578125" style="259"/>
    <col min="11258" max="11258" width="15.42578125" style="259" customWidth="1"/>
    <col min="11259" max="11261" width="0" style="259" hidden="1" customWidth="1"/>
    <col min="11262" max="11262" width="24.5703125" style="259" customWidth="1"/>
    <col min="11263" max="11267" width="0" style="259" hidden="1" customWidth="1"/>
    <col min="11268" max="11513" width="11.42578125" style="259"/>
    <col min="11514" max="11514" width="15.42578125" style="259" customWidth="1"/>
    <col min="11515" max="11517" width="0" style="259" hidden="1" customWidth="1"/>
    <col min="11518" max="11518" width="24.5703125" style="259" customWidth="1"/>
    <col min="11519" max="11523" width="0" style="259" hidden="1" customWidth="1"/>
    <col min="11524" max="11769" width="11.42578125" style="259"/>
    <col min="11770" max="11770" width="15.42578125" style="259" customWidth="1"/>
    <col min="11771" max="11773" width="0" style="259" hidden="1" customWidth="1"/>
    <col min="11774" max="11774" width="24.5703125" style="259" customWidth="1"/>
    <col min="11775" max="11779" width="0" style="259" hidden="1" customWidth="1"/>
    <col min="11780" max="12025" width="11.42578125" style="259"/>
    <col min="12026" max="12026" width="15.42578125" style="259" customWidth="1"/>
    <col min="12027" max="12029" width="0" style="259" hidden="1" customWidth="1"/>
    <col min="12030" max="12030" width="24.5703125" style="259" customWidth="1"/>
    <col min="12031" max="12035" width="0" style="259" hidden="1" customWidth="1"/>
    <col min="12036" max="12281" width="11.42578125" style="259"/>
    <col min="12282" max="12282" width="15.42578125" style="259" customWidth="1"/>
    <col min="12283" max="12285" width="0" style="259" hidden="1" customWidth="1"/>
    <col min="12286" max="12286" width="24.5703125" style="259" customWidth="1"/>
    <col min="12287" max="12291" width="0" style="259" hidden="1" customWidth="1"/>
    <col min="12292" max="12537" width="11.42578125" style="259"/>
    <col min="12538" max="12538" width="15.42578125" style="259" customWidth="1"/>
    <col min="12539" max="12541" width="0" style="259" hidden="1" customWidth="1"/>
    <col min="12542" max="12542" width="24.5703125" style="259" customWidth="1"/>
    <col min="12543" max="12547" width="0" style="259" hidden="1" customWidth="1"/>
    <col min="12548" max="12793" width="11.42578125" style="259"/>
    <col min="12794" max="12794" width="15.42578125" style="259" customWidth="1"/>
    <col min="12795" max="12797" width="0" style="259" hidden="1" customWidth="1"/>
    <col min="12798" max="12798" width="24.5703125" style="259" customWidth="1"/>
    <col min="12799" max="12803" width="0" style="259" hidden="1" customWidth="1"/>
    <col min="12804" max="13049" width="11.42578125" style="259"/>
    <col min="13050" max="13050" width="15.42578125" style="259" customWidth="1"/>
    <col min="13051" max="13053" width="0" style="259" hidden="1" customWidth="1"/>
    <col min="13054" max="13054" width="24.5703125" style="259" customWidth="1"/>
    <col min="13055" max="13059" width="0" style="259" hidden="1" customWidth="1"/>
    <col min="13060" max="13305" width="11.42578125" style="259"/>
    <col min="13306" max="13306" width="15.42578125" style="259" customWidth="1"/>
    <col min="13307" max="13309" width="0" style="259" hidden="1" customWidth="1"/>
    <col min="13310" max="13310" width="24.5703125" style="259" customWidth="1"/>
    <col min="13311" max="13315" width="0" style="259" hidden="1" customWidth="1"/>
    <col min="13316" max="13561" width="11.42578125" style="259"/>
    <col min="13562" max="13562" width="15.42578125" style="259" customWidth="1"/>
    <col min="13563" max="13565" width="0" style="259" hidden="1" customWidth="1"/>
    <col min="13566" max="13566" width="24.5703125" style="259" customWidth="1"/>
    <col min="13567" max="13571" width="0" style="259" hidden="1" customWidth="1"/>
    <col min="13572" max="13817" width="11.42578125" style="259"/>
    <col min="13818" max="13818" width="15.42578125" style="259" customWidth="1"/>
    <col min="13819" max="13821" width="0" style="259" hidden="1" customWidth="1"/>
    <col min="13822" max="13822" width="24.5703125" style="259" customWidth="1"/>
    <col min="13823" max="13827" width="0" style="259" hidden="1" customWidth="1"/>
    <col min="13828" max="14073" width="11.42578125" style="259"/>
    <col min="14074" max="14074" width="15.42578125" style="259" customWidth="1"/>
    <col min="14075" max="14077" width="0" style="259" hidden="1" customWidth="1"/>
    <col min="14078" max="14078" width="24.5703125" style="259" customWidth="1"/>
    <col min="14079" max="14083" width="0" style="259" hidden="1" customWidth="1"/>
    <col min="14084" max="14329" width="11.42578125" style="259"/>
    <col min="14330" max="14330" width="15.42578125" style="259" customWidth="1"/>
    <col min="14331" max="14333" width="0" style="259" hidden="1" customWidth="1"/>
    <col min="14334" max="14334" width="24.5703125" style="259" customWidth="1"/>
    <col min="14335" max="14339" width="0" style="259" hidden="1" customWidth="1"/>
    <col min="14340" max="14585" width="11.42578125" style="259"/>
    <col min="14586" max="14586" width="15.42578125" style="259" customWidth="1"/>
    <col min="14587" max="14589" width="0" style="259" hidden="1" customWidth="1"/>
    <col min="14590" max="14590" width="24.5703125" style="259" customWidth="1"/>
    <col min="14591" max="14595" width="0" style="259" hidden="1" customWidth="1"/>
    <col min="14596" max="14841" width="11.42578125" style="259"/>
    <col min="14842" max="14842" width="15.42578125" style="259" customWidth="1"/>
    <col min="14843" max="14845" width="0" style="259" hidden="1" customWidth="1"/>
    <col min="14846" max="14846" width="24.5703125" style="259" customWidth="1"/>
    <col min="14847" max="14851" width="0" style="259" hidden="1" customWidth="1"/>
    <col min="14852" max="15097" width="11.42578125" style="259"/>
    <col min="15098" max="15098" width="15.42578125" style="259" customWidth="1"/>
    <col min="15099" max="15101" width="0" style="259" hidden="1" customWidth="1"/>
    <col min="15102" max="15102" width="24.5703125" style="259" customWidth="1"/>
    <col min="15103" max="15107" width="0" style="259" hidden="1" customWidth="1"/>
    <col min="15108" max="15353" width="11.42578125" style="259"/>
    <col min="15354" max="15354" width="15.42578125" style="259" customWidth="1"/>
    <col min="15355" max="15357" width="0" style="259" hidden="1" customWidth="1"/>
    <col min="15358" max="15358" width="24.5703125" style="259" customWidth="1"/>
    <col min="15359" max="15363" width="0" style="259" hidden="1" customWidth="1"/>
    <col min="15364" max="15609" width="11.42578125" style="259"/>
    <col min="15610" max="15610" width="15.42578125" style="259" customWidth="1"/>
    <col min="15611" max="15613" width="0" style="259" hidden="1" customWidth="1"/>
    <col min="15614" max="15614" width="24.5703125" style="259" customWidth="1"/>
    <col min="15615" max="15619" width="0" style="259" hidden="1" customWidth="1"/>
    <col min="15620" max="15865" width="11.42578125" style="259"/>
    <col min="15866" max="15866" width="15.42578125" style="259" customWidth="1"/>
    <col min="15867" max="15869" width="0" style="259" hidden="1" customWidth="1"/>
    <col min="15870" max="15870" width="24.5703125" style="259" customWidth="1"/>
    <col min="15871" max="15875" width="0" style="259" hidden="1" customWidth="1"/>
    <col min="15876" max="16121" width="11.42578125" style="259"/>
    <col min="16122" max="16122" width="15.42578125" style="259" customWidth="1"/>
    <col min="16123" max="16125" width="0" style="259" hidden="1" customWidth="1"/>
    <col min="16126" max="16126" width="24.5703125" style="259" customWidth="1"/>
    <col min="16127" max="16131" width="0" style="259" hidden="1" customWidth="1"/>
    <col min="16132" max="16382" width="11.42578125" style="259"/>
    <col min="16383" max="16383" width="11.42578125" style="259" customWidth="1"/>
    <col min="16384" max="16384" width="11.42578125" style="259"/>
  </cols>
  <sheetData>
    <row r="1" spans="5:11" hidden="1" x14ac:dyDescent="0.2"/>
    <row r="3" spans="5:11" ht="13.5" thickBot="1" x14ac:dyDescent="0.25">
      <c r="E3" s="259" t="s">
        <v>92</v>
      </c>
      <c r="K3" s="268"/>
    </row>
    <row r="4" spans="5:11" ht="13.5" thickBot="1" x14ac:dyDescent="0.25">
      <c r="E4" s="464"/>
      <c r="F4" s="448">
        <v>2018</v>
      </c>
      <c r="G4" s="448">
        <v>2019</v>
      </c>
      <c r="H4" s="448">
        <v>2020</v>
      </c>
      <c r="I4" s="448">
        <v>2021</v>
      </c>
      <c r="J4" s="587">
        <v>2022</v>
      </c>
    </row>
    <row r="5" spans="5:11" x14ac:dyDescent="0.2">
      <c r="E5" s="465" t="s">
        <v>95</v>
      </c>
      <c r="F5" s="443">
        <v>1489</v>
      </c>
      <c r="G5" s="443">
        <v>1449</v>
      </c>
      <c r="H5" s="443">
        <f>BEaH20!B11</f>
        <v>1369</v>
      </c>
      <c r="I5" s="641">
        <f>BEaH21!B11</f>
        <v>1447</v>
      </c>
      <c r="J5" s="581">
        <f>BEaH22!B11</f>
        <v>1327</v>
      </c>
    </row>
    <row r="6" spans="5:11" x14ac:dyDescent="0.2">
      <c r="E6" s="466" t="s">
        <v>70</v>
      </c>
      <c r="F6" s="379">
        <v>517</v>
      </c>
      <c r="G6" s="379">
        <v>538</v>
      </c>
      <c r="H6" s="379">
        <f>BEaH20!C11</f>
        <v>570</v>
      </c>
      <c r="I6" s="379">
        <f>BEaH21!C11</f>
        <v>572</v>
      </c>
      <c r="J6" s="451">
        <f>BEaH22!C11</f>
        <v>606</v>
      </c>
    </row>
    <row r="7" spans="5:11" x14ac:dyDescent="0.2">
      <c r="E7" s="466" t="s">
        <v>96</v>
      </c>
      <c r="F7" s="379">
        <v>2159</v>
      </c>
      <c r="G7" s="379">
        <v>1839</v>
      </c>
      <c r="H7" s="379">
        <f>BEaH20!D11</f>
        <v>1977</v>
      </c>
      <c r="I7" s="379">
        <f>BEaH21!D11</f>
        <v>1982</v>
      </c>
      <c r="J7" s="643">
        <f>BEaH22!D11</f>
        <v>1813</v>
      </c>
    </row>
    <row r="8" spans="5:11" x14ac:dyDescent="0.2">
      <c r="E8" s="466" t="s">
        <v>97</v>
      </c>
      <c r="F8" s="379">
        <v>1723</v>
      </c>
      <c r="G8" s="379">
        <v>1686</v>
      </c>
      <c r="H8" s="379">
        <f>BEaH20!E11</f>
        <v>1882</v>
      </c>
      <c r="I8" s="379">
        <f>BEaH21!E11</f>
        <v>1824</v>
      </c>
      <c r="J8" s="451">
        <f>BEaH22!E11</f>
        <v>1826</v>
      </c>
    </row>
    <row r="9" spans="5:11" ht="13.5" thickBot="1" x14ac:dyDescent="0.25">
      <c r="E9" s="467" t="s">
        <v>98</v>
      </c>
      <c r="F9" s="446">
        <v>729</v>
      </c>
      <c r="G9" s="441">
        <v>713</v>
      </c>
      <c r="H9" s="441">
        <f>BEaH20!F11</f>
        <v>665</v>
      </c>
      <c r="I9" s="441">
        <f>BEaH21!F11</f>
        <v>683</v>
      </c>
      <c r="J9" s="469">
        <f>BEaH22!F11</f>
        <v>603</v>
      </c>
    </row>
    <row r="10" spans="5:11" ht="13.5" thickBot="1" x14ac:dyDescent="0.25">
      <c r="E10" s="464"/>
      <c r="F10" s="452">
        <v>6617</v>
      </c>
      <c r="G10" s="473">
        <v>6225</v>
      </c>
      <c r="H10" s="473">
        <f>SUM(H5:H9)</f>
        <v>6463</v>
      </c>
      <c r="I10" s="473">
        <f>BEaH21!G11</f>
        <v>6508</v>
      </c>
      <c r="J10" s="642">
        <f>BEaH22!G11</f>
        <v>6175</v>
      </c>
    </row>
    <row r="95" spans="1:5" x14ac:dyDescent="0.2">
      <c r="E95" s="260"/>
    </row>
    <row r="96" spans="1:5" x14ac:dyDescent="0.2">
      <c r="A96" s="268"/>
      <c r="B96" s="268"/>
      <c r="C96" s="268"/>
      <c r="D96" s="268"/>
      <c r="E96" s="268"/>
    </row>
    <row r="97" spans="1:5" x14ac:dyDescent="0.2">
      <c r="A97" s="268"/>
      <c r="B97" s="268"/>
      <c r="C97" s="268"/>
      <c r="D97" s="268"/>
      <c r="E97" s="268"/>
    </row>
    <row r="98" spans="1:5" x14ac:dyDescent="0.2">
      <c r="A98" s="268"/>
      <c r="B98" s="268"/>
      <c r="C98" s="268"/>
      <c r="D98" s="268"/>
      <c r="E98" s="268"/>
    </row>
    <row r="99" spans="1:5" x14ac:dyDescent="0.2">
      <c r="A99" s="268"/>
      <c r="B99" s="268"/>
      <c r="C99" s="268"/>
      <c r="D99" s="268"/>
      <c r="E99" s="268"/>
    </row>
    <row r="100" spans="1:5" x14ac:dyDescent="0.2">
      <c r="A100" s="268"/>
      <c r="B100" s="268"/>
      <c r="C100" s="268"/>
      <c r="D100" s="268"/>
      <c r="E100" s="268"/>
    </row>
    <row r="101" spans="1:5" x14ac:dyDescent="0.2">
      <c r="A101" s="268"/>
      <c r="B101" s="268"/>
      <c r="C101" s="268"/>
      <c r="D101" s="268"/>
      <c r="E101" s="268"/>
    </row>
    <row r="102" spans="1:5" x14ac:dyDescent="0.2">
      <c r="A102" s="268"/>
      <c r="B102" s="268"/>
      <c r="C102" s="268"/>
      <c r="D102" s="268"/>
      <c r="E102" s="268"/>
    </row>
    <row r="103" spans="1:5" x14ac:dyDescent="0.2">
      <c r="A103" s="268"/>
      <c r="B103" s="268"/>
      <c r="C103" s="268"/>
      <c r="D103" s="268"/>
      <c r="E103" s="268"/>
    </row>
    <row r="104" spans="1:5" x14ac:dyDescent="0.2">
      <c r="A104" s="268"/>
      <c r="B104" s="268"/>
      <c r="C104" s="268"/>
      <c r="D104" s="268"/>
      <c r="E104" s="268"/>
    </row>
    <row r="105" spans="1:5" x14ac:dyDescent="0.2">
      <c r="A105" s="268"/>
      <c r="B105" s="268"/>
      <c r="C105" s="268"/>
      <c r="D105" s="268"/>
      <c r="E105" s="268"/>
    </row>
  </sheetData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8"/>
  <dimension ref="A1:L25"/>
  <sheetViews>
    <sheetView zoomScaleNormal="100" workbookViewId="0">
      <selection activeCell="L30" sqref="L30"/>
    </sheetView>
  </sheetViews>
  <sheetFormatPr baseColWidth="10" defaultRowHeight="12.75" x14ac:dyDescent="0.2"/>
  <cols>
    <col min="1" max="1" width="21.85546875" style="259" customWidth="1"/>
    <col min="2" max="8" width="11.5703125" style="259" customWidth="1"/>
    <col min="9" max="9" width="11.42578125" style="259"/>
    <col min="10" max="10" width="15.42578125" style="259" bestFit="1" customWidth="1"/>
    <col min="11" max="255" width="11.42578125" style="259"/>
    <col min="256" max="256" width="21.85546875" style="259" customWidth="1"/>
    <col min="257" max="257" width="13.85546875" style="259" customWidth="1"/>
    <col min="258" max="258" width="11.42578125" style="259"/>
    <col min="259" max="259" width="0" style="259" hidden="1" customWidth="1"/>
    <col min="260" max="261" width="11.42578125" style="259"/>
    <col min="262" max="262" width="12.42578125" style="259" bestFit="1" customWidth="1"/>
    <col min="263" max="263" width="9.140625" style="259" bestFit="1" customWidth="1"/>
    <col min="264" max="264" width="11" style="259" bestFit="1" customWidth="1"/>
    <col min="265" max="265" width="11.42578125" style="259"/>
    <col min="266" max="266" width="15.42578125" style="259" bestFit="1" customWidth="1"/>
    <col min="267" max="511" width="11.42578125" style="259"/>
    <col min="512" max="512" width="21.85546875" style="259" customWidth="1"/>
    <col min="513" max="513" width="13.85546875" style="259" customWidth="1"/>
    <col min="514" max="514" width="11.42578125" style="259"/>
    <col min="515" max="515" width="0" style="259" hidden="1" customWidth="1"/>
    <col min="516" max="517" width="11.42578125" style="259"/>
    <col min="518" max="518" width="12.42578125" style="259" bestFit="1" customWidth="1"/>
    <col min="519" max="519" width="9.140625" style="259" bestFit="1" customWidth="1"/>
    <col min="520" max="520" width="11" style="259" bestFit="1" customWidth="1"/>
    <col min="521" max="521" width="11.42578125" style="259"/>
    <col min="522" max="522" width="15.42578125" style="259" bestFit="1" customWidth="1"/>
    <col min="523" max="767" width="11.42578125" style="259"/>
    <col min="768" max="768" width="21.85546875" style="259" customWidth="1"/>
    <col min="769" max="769" width="13.85546875" style="259" customWidth="1"/>
    <col min="770" max="770" width="11.42578125" style="259"/>
    <col min="771" max="771" width="0" style="259" hidden="1" customWidth="1"/>
    <col min="772" max="773" width="11.42578125" style="259"/>
    <col min="774" max="774" width="12.42578125" style="259" bestFit="1" customWidth="1"/>
    <col min="775" max="775" width="9.140625" style="259" bestFit="1" customWidth="1"/>
    <col min="776" max="776" width="11" style="259" bestFit="1" customWidth="1"/>
    <col min="777" max="777" width="11.42578125" style="259"/>
    <col min="778" max="778" width="15.42578125" style="259" bestFit="1" customWidth="1"/>
    <col min="779" max="1023" width="11.42578125" style="259"/>
    <col min="1024" max="1024" width="21.85546875" style="259" customWidth="1"/>
    <col min="1025" max="1025" width="13.85546875" style="259" customWidth="1"/>
    <col min="1026" max="1026" width="11.42578125" style="259"/>
    <col min="1027" max="1027" width="0" style="259" hidden="1" customWidth="1"/>
    <col min="1028" max="1029" width="11.42578125" style="259"/>
    <col min="1030" max="1030" width="12.42578125" style="259" bestFit="1" customWidth="1"/>
    <col min="1031" max="1031" width="9.140625" style="259" bestFit="1" customWidth="1"/>
    <col min="1032" max="1032" width="11" style="259" bestFit="1" customWidth="1"/>
    <col min="1033" max="1033" width="11.42578125" style="259"/>
    <col min="1034" max="1034" width="15.42578125" style="259" bestFit="1" customWidth="1"/>
    <col min="1035" max="1279" width="11.42578125" style="259"/>
    <col min="1280" max="1280" width="21.85546875" style="259" customWidth="1"/>
    <col min="1281" max="1281" width="13.85546875" style="259" customWidth="1"/>
    <col min="1282" max="1282" width="11.42578125" style="259"/>
    <col min="1283" max="1283" width="0" style="259" hidden="1" customWidth="1"/>
    <col min="1284" max="1285" width="11.42578125" style="259"/>
    <col min="1286" max="1286" width="12.42578125" style="259" bestFit="1" customWidth="1"/>
    <col min="1287" max="1287" width="9.140625" style="259" bestFit="1" customWidth="1"/>
    <col min="1288" max="1288" width="11" style="259" bestFit="1" customWidth="1"/>
    <col min="1289" max="1289" width="11.42578125" style="259"/>
    <col min="1290" max="1290" width="15.42578125" style="259" bestFit="1" customWidth="1"/>
    <col min="1291" max="1535" width="11.42578125" style="259"/>
    <col min="1536" max="1536" width="21.85546875" style="259" customWidth="1"/>
    <col min="1537" max="1537" width="13.85546875" style="259" customWidth="1"/>
    <col min="1538" max="1538" width="11.42578125" style="259"/>
    <col min="1539" max="1539" width="0" style="259" hidden="1" customWidth="1"/>
    <col min="1540" max="1541" width="11.42578125" style="259"/>
    <col min="1542" max="1542" width="12.42578125" style="259" bestFit="1" customWidth="1"/>
    <col min="1543" max="1543" width="9.140625" style="259" bestFit="1" customWidth="1"/>
    <col min="1544" max="1544" width="11" style="259" bestFit="1" customWidth="1"/>
    <col min="1545" max="1545" width="11.42578125" style="259"/>
    <col min="1546" max="1546" width="15.42578125" style="259" bestFit="1" customWidth="1"/>
    <col min="1547" max="1791" width="11.42578125" style="259"/>
    <col min="1792" max="1792" width="21.85546875" style="259" customWidth="1"/>
    <col min="1793" max="1793" width="13.85546875" style="259" customWidth="1"/>
    <col min="1794" max="1794" width="11.42578125" style="259"/>
    <col min="1795" max="1795" width="0" style="259" hidden="1" customWidth="1"/>
    <col min="1796" max="1797" width="11.42578125" style="259"/>
    <col min="1798" max="1798" width="12.42578125" style="259" bestFit="1" customWidth="1"/>
    <col min="1799" max="1799" width="9.140625" style="259" bestFit="1" customWidth="1"/>
    <col min="1800" max="1800" width="11" style="259" bestFit="1" customWidth="1"/>
    <col min="1801" max="1801" width="11.42578125" style="259"/>
    <col min="1802" max="1802" width="15.42578125" style="259" bestFit="1" customWidth="1"/>
    <col min="1803" max="2047" width="11.42578125" style="259"/>
    <col min="2048" max="2048" width="21.85546875" style="259" customWidth="1"/>
    <col min="2049" max="2049" width="13.85546875" style="259" customWidth="1"/>
    <col min="2050" max="2050" width="11.42578125" style="259"/>
    <col min="2051" max="2051" width="0" style="259" hidden="1" customWidth="1"/>
    <col min="2052" max="2053" width="11.42578125" style="259"/>
    <col min="2054" max="2054" width="12.42578125" style="259" bestFit="1" customWidth="1"/>
    <col min="2055" max="2055" width="9.140625" style="259" bestFit="1" customWidth="1"/>
    <col min="2056" max="2056" width="11" style="259" bestFit="1" customWidth="1"/>
    <col min="2057" max="2057" width="11.42578125" style="259"/>
    <col min="2058" max="2058" width="15.42578125" style="259" bestFit="1" customWidth="1"/>
    <col min="2059" max="2303" width="11.42578125" style="259"/>
    <col min="2304" max="2304" width="21.85546875" style="259" customWidth="1"/>
    <col min="2305" max="2305" width="13.85546875" style="259" customWidth="1"/>
    <col min="2306" max="2306" width="11.42578125" style="259"/>
    <col min="2307" max="2307" width="0" style="259" hidden="1" customWidth="1"/>
    <col min="2308" max="2309" width="11.42578125" style="259"/>
    <col min="2310" max="2310" width="12.42578125" style="259" bestFit="1" customWidth="1"/>
    <col min="2311" max="2311" width="9.140625" style="259" bestFit="1" customWidth="1"/>
    <col min="2312" max="2312" width="11" style="259" bestFit="1" customWidth="1"/>
    <col min="2313" max="2313" width="11.42578125" style="259"/>
    <col min="2314" max="2314" width="15.42578125" style="259" bestFit="1" customWidth="1"/>
    <col min="2315" max="2559" width="11.42578125" style="259"/>
    <col min="2560" max="2560" width="21.85546875" style="259" customWidth="1"/>
    <col min="2561" max="2561" width="13.85546875" style="259" customWidth="1"/>
    <col min="2562" max="2562" width="11.42578125" style="259"/>
    <col min="2563" max="2563" width="0" style="259" hidden="1" customWidth="1"/>
    <col min="2564" max="2565" width="11.42578125" style="259"/>
    <col min="2566" max="2566" width="12.42578125" style="259" bestFit="1" customWidth="1"/>
    <col min="2567" max="2567" width="9.140625" style="259" bestFit="1" customWidth="1"/>
    <col min="2568" max="2568" width="11" style="259" bestFit="1" customWidth="1"/>
    <col min="2569" max="2569" width="11.42578125" style="259"/>
    <col min="2570" max="2570" width="15.42578125" style="259" bestFit="1" customWidth="1"/>
    <col min="2571" max="2815" width="11.42578125" style="259"/>
    <col min="2816" max="2816" width="21.85546875" style="259" customWidth="1"/>
    <col min="2817" max="2817" width="13.85546875" style="259" customWidth="1"/>
    <col min="2818" max="2818" width="11.42578125" style="259"/>
    <col min="2819" max="2819" width="0" style="259" hidden="1" customWidth="1"/>
    <col min="2820" max="2821" width="11.42578125" style="259"/>
    <col min="2822" max="2822" width="12.42578125" style="259" bestFit="1" customWidth="1"/>
    <col min="2823" max="2823" width="9.140625" style="259" bestFit="1" customWidth="1"/>
    <col min="2824" max="2824" width="11" style="259" bestFit="1" customWidth="1"/>
    <col min="2825" max="2825" width="11.42578125" style="259"/>
    <col min="2826" max="2826" width="15.42578125" style="259" bestFit="1" customWidth="1"/>
    <col min="2827" max="3071" width="11.42578125" style="259"/>
    <col min="3072" max="3072" width="21.85546875" style="259" customWidth="1"/>
    <col min="3073" max="3073" width="13.85546875" style="259" customWidth="1"/>
    <col min="3074" max="3074" width="11.42578125" style="259"/>
    <col min="3075" max="3075" width="0" style="259" hidden="1" customWidth="1"/>
    <col min="3076" max="3077" width="11.42578125" style="259"/>
    <col min="3078" max="3078" width="12.42578125" style="259" bestFit="1" customWidth="1"/>
    <col min="3079" max="3079" width="9.140625" style="259" bestFit="1" customWidth="1"/>
    <col min="3080" max="3080" width="11" style="259" bestFit="1" customWidth="1"/>
    <col min="3081" max="3081" width="11.42578125" style="259"/>
    <col min="3082" max="3082" width="15.42578125" style="259" bestFit="1" customWidth="1"/>
    <col min="3083" max="3327" width="11.42578125" style="259"/>
    <col min="3328" max="3328" width="21.85546875" style="259" customWidth="1"/>
    <col min="3329" max="3329" width="13.85546875" style="259" customWidth="1"/>
    <col min="3330" max="3330" width="11.42578125" style="259"/>
    <col min="3331" max="3331" width="0" style="259" hidden="1" customWidth="1"/>
    <col min="3332" max="3333" width="11.42578125" style="259"/>
    <col min="3334" max="3334" width="12.42578125" style="259" bestFit="1" customWidth="1"/>
    <col min="3335" max="3335" width="9.140625" style="259" bestFit="1" customWidth="1"/>
    <col min="3336" max="3336" width="11" style="259" bestFit="1" customWidth="1"/>
    <col min="3337" max="3337" width="11.42578125" style="259"/>
    <col min="3338" max="3338" width="15.42578125" style="259" bestFit="1" customWidth="1"/>
    <col min="3339" max="3583" width="11.42578125" style="259"/>
    <col min="3584" max="3584" width="21.85546875" style="259" customWidth="1"/>
    <col min="3585" max="3585" width="13.85546875" style="259" customWidth="1"/>
    <col min="3586" max="3586" width="11.42578125" style="259"/>
    <col min="3587" max="3587" width="0" style="259" hidden="1" customWidth="1"/>
    <col min="3588" max="3589" width="11.42578125" style="259"/>
    <col min="3590" max="3590" width="12.42578125" style="259" bestFit="1" customWidth="1"/>
    <col min="3591" max="3591" width="9.140625" style="259" bestFit="1" customWidth="1"/>
    <col min="3592" max="3592" width="11" style="259" bestFit="1" customWidth="1"/>
    <col min="3593" max="3593" width="11.42578125" style="259"/>
    <col min="3594" max="3594" width="15.42578125" style="259" bestFit="1" customWidth="1"/>
    <col min="3595" max="3839" width="11.42578125" style="259"/>
    <col min="3840" max="3840" width="21.85546875" style="259" customWidth="1"/>
    <col min="3841" max="3841" width="13.85546875" style="259" customWidth="1"/>
    <col min="3842" max="3842" width="11.42578125" style="259"/>
    <col min="3843" max="3843" width="0" style="259" hidden="1" customWidth="1"/>
    <col min="3844" max="3845" width="11.42578125" style="259"/>
    <col min="3846" max="3846" width="12.42578125" style="259" bestFit="1" customWidth="1"/>
    <col min="3847" max="3847" width="9.140625" style="259" bestFit="1" customWidth="1"/>
    <col min="3848" max="3848" width="11" style="259" bestFit="1" customWidth="1"/>
    <col min="3849" max="3849" width="11.42578125" style="259"/>
    <col min="3850" max="3850" width="15.42578125" style="259" bestFit="1" customWidth="1"/>
    <col min="3851" max="4095" width="11.42578125" style="259"/>
    <col min="4096" max="4096" width="21.85546875" style="259" customWidth="1"/>
    <col min="4097" max="4097" width="13.85546875" style="259" customWidth="1"/>
    <col min="4098" max="4098" width="11.42578125" style="259"/>
    <col min="4099" max="4099" width="0" style="259" hidden="1" customWidth="1"/>
    <col min="4100" max="4101" width="11.42578125" style="259"/>
    <col min="4102" max="4102" width="12.42578125" style="259" bestFit="1" customWidth="1"/>
    <col min="4103" max="4103" width="9.140625" style="259" bestFit="1" customWidth="1"/>
    <col min="4104" max="4104" width="11" style="259" bestFit="1" customWidth="1"/>
    <col min="4105" max="4105" width="11.42578125" style="259"/>
    <col min="4106" max="4106" width="15.42578125" style="259" bestFit="1" customWidth="1"/>
    <col min="4107" max="4351" width="11.42578125" style="259"/>
    <col min="4352" max="4352" width="21.85546875" style="259" customWidth="1"/>
    <col min="4353" max="4353" width="13.85546875" style="259" customWidth="1"/>
    <col min="4354" max="4354" width="11.42578125" style="259"/>
    <col min="4355" max="4355" width="0" style="259" hidden="1" customWidth="1"/>
    <col min="4356" max="4357" width="11.42578125" style="259"/>
    <col min="4358" max="4358" width="12.42578125" style="259" bestFit="1" customWidth="1"/>
    <col min="4359" max="4359" width="9.140625" style="259" bestFit="1" customWidth="1"/>
    <col min="4360" max="4360" width="11" style="259" bestFit="1" customWidth="1"/>
    <col min="4361" max="4361" width="11.42578125" style="259"/>
    <col min="4362" max="4362" width="15.42578125" style="259" bestFit="1" customWidth="1"/>
    <col min="4363" max="4607" width="11.42578125" style="259"/>
    <col min="4608" max="4608" width="21.85546875" style="259" customWidth="1"/>
    <col min="4609" max="4609" width="13.85546875" style="259" customWidth="1"/>
    <col min="4610" max="4610" width="11.42578125" style="259"/>
    <col min="4611" max="4611" width="0" style="259" hidden="1" customWidth="1"/>
    <col min="4612" max="4613" width="11.42578125" style="259"/>
    <col min="4614" max="4614" width="12.42578125" style="259" bestFit="1" customWidth="1"/>
    <col min="4615" max="4615" width="9.140625" style="259" bestFit="1" customWidth="1"/>
    <col min="4616" max="4616" width="11" style="259" bestFit="1" customWidth="1"/>
    <col min="4617" max="4617" width="11.42578125" style="259"/>
    <col min="4618" max="4618" width="15.42578125" style="259" bestFit="1" customWidth="1"/>
    <col min="4619" max="4863" width="11.42578125" style="259"/>
    <col min="4864" max="4864" width="21.85546875" style="259" customWidth="1"/>
    <col min="4865" max="4865" width="13.85546875" style="259" customWidth="1"/>
    <col min="4866" max="4866" width="11.42578125" style="259"/>
    <col min="4867" max="4867" width="0" style="259" hidden="1" customWidth="1"/>
    <col min="4868" max="4869" width="11.42578125" style="259"/>
    <col min="4870" max="4870" width="12.42578125" style="259" bestFit="1" customWidth="1"/>
    <col min="4871" max="4871" width="9.140625" style="259" bestFit="1" customWidth="1"/>
    <col min="4872" max="4872" width="11" style="259" bestFit="1" customWidth="1"/>
    <col min="4873" max="4873" width="11.42578125" style="259"/>
    <col min="4874" max="4874" width="15.42578125" style="259" bestFit="1" customWidth="1"/>
    <col min="4875" max="5119" width="11.42578125" style="259"/>
    <col min="5120" max="5120" width="21.85546875" style="259" customWidth="1"/>
    <col min="5121" max="5121" width="13.85546875" style="259" customWidth="1"/>
    <col min="5122" max="5122" width="11.42578125" style="259"/>
    <col min="5123" max="5123" width="0" style="259" hidden="1" customWidth="1"/>
    <col min="5124" max="5125" width="11.42578125" style="259"/>
    <col min="5126" max="5126" width="12.42578125" style="259" bestFit="1" customWidth="1"/>
    <col min="5127" max="5127" width="9.140625" style="259" bestFit="1" customWidth="1"/>
    <col min="5128" max="5128" width="11" style="259" bestFit="1" customWidth="1"/>
    <col min="5129" max="5129" width="11.42578125" style="259"/>
    <col min="5130" max="5130" width="15.42578125" style="259" bestFit="1" customWidth="1"/>
    <col min="5131" max="5375" width="11.42578125" style="259"/>
    <col min="5376" max="5376" width="21.85546875" style="259" customWidth="1"/>
    <col min="5377" max="5377" width="13.85546875" style="259" customWidth="1"/>
    <col min="5378" max="5378" width="11.42578125" style="259"/>
    <col min="5379" max="5379" width="0" style="259" hidden="1" customWidth="1"/>
    <col min="5380" max="5381" width="11.42578125" style="259"/>
    <col min="5382" max="5382" width="12.42578125" style="259" bestFit="1" customWidth="1"/>
    <col min="5383" max="5383" width="9.140625" style="259" bestFit="1" customWidth="1"/>
    <col min="5384" max="5384" width="11" style="259" bestFit="1" customWidth="1"/>
    <col min="5385" max="5385" width="11.42578125" style="259"/>
    <col min="5386" max="5386" width="15.42578125" style="259" bestFit="1" customWidth="1"/>
    <col min="5387" max="5631" width="11.42578125" style="259"/>
    <col min="5632" max="5632" width="21.85546875" style="259" customWidth="1"/>
    <col min="5633" max="5633" width="13.85546875" style="259" customWidth="1"/>
    <col min="5634" max="5634" width="11.42578125" style="259"/>
    <col min="5635" max="5635" width="0" style="259" hidden="1" customWidth="1"/>
    <col min="5636" max="5637" width="11.42578125" style="259"/>
    <col min="5638" max="5638" width="12.42578125" style="259" bestFit="1" customWidth="1"/>
    <col min="5639" max="5639" width="9.140625" style="259" bestFit="1" customWidth="1"/>
    <col min="5640" max="5640" width="11" style="259" bestFit="1" customWidth="1"/>
    <col min="5641" max="5641" width="11.42578125" style="259"/>
    <col min="5642" max="5642" width="15.42578125" style="259" bestFit="1" customWidth="1"/>
    <col min="5643" max="5887" width="11.42578125" style="259"/>
    <col min="5888" max="5888" width="21.85546875" style="259" customWidth="1"/>
    <col min="5889" max="5889" width="13.85546875" style="259" customWidth="1"/>
    <col min="5890" max="5890" width="11.42578125" style="259"/>
    <col min="5891" max="5891" width="0" style="259" hidden="1" customWidth="1"/>
    <col min="5892" max="5893" width="11.42578125" style="259"/>
    <col min="5894" max="5894" width="12.42578125" style="259" bestFit="1" customWidth="1"/>
    <col min="5895" max="5895" width="9.140625" style="259" bestFit="1" customWidth="1"/>
    <col min="5896" max="5896" width="11" style="259" bestFit="1" customWidth="1"/>
    <col min="5897" max="5897" width="11.42578125" style="259"/>
    <col min="5898" max="5898" width="15.42578125" style="259" bestFit="1" customWidth="1"/>
    <col min="5899" max="6143" width="11.42578125" style="259"/>
    <col min="6144" max="6144" width="21.85546875" style="259" customWidth="1"/>
    <col min="6145" max="6145" width="13.85546875" style="259" customWidth="1"/>
    <col min="6146" max="6146" width="11.42578125" style="259"/>
    <col min="6147" max="6147" width="0" style="259" hidden="1" customWidth="1"/>
    <col min="6148" max="6149" width="11.42578125" style="259"/>
    <col min="6150" max="6150" width="12.42578125" style="259" bestFit="1" customWidth="1"/>
    <col min="6151" max="6151" width="9.140625" style="259" bestFit="1" customWidth="1"/>
    <col min="6152" max="6152" width="11" style="259" bestFit="1" customWidth="1"/>
    <col min="6153" max="6153" width="11.42578125" style="259"/>
    <col min="6154" max="6154" width="15.42578125" style="259" bestFit="1" customWidth="1"/>
    <col min="6155" max="6399" width="11.42578125" style="259"/>
    <col min="6400" max="6400" width="21.85546875" style="259" customWidth="1"/>
    <col min="6401" max="6401" width="13.85546875" style="259" customWidth="1"/>
    <col min="6402" max="6402" width="11.42578125" style="259"/>
    <col min="6403" max="6403" width="0" style="259" hidden="1" customWidth="1"/>
    <col min="6404" max="6405" width="11.42578125" style="259"/>
    <col min="6406" max="6406" width="12.42578125" style="259" bestFit="1" customWidth="1"/>
    <col min="6407" max="6407" width="9.140625" style="259" bestFit="1" customWidth="1"/>
    <col min="6408" max="6408" width="11" style="259" bestFit="1" customWidth="1"/>
    <col min="6409" max="6409" width="11.42578125" style="259"/>
    <col min="6410" max="6410" width="15.42578125" style="259" bestFit="1" customWidth="1"/>
    <col min="6411" max="6655" width="11.42578125" style="259"/>
    <col min="6656" max="6656" width="21.85546875" style="259" customWidth="1"/>
    <col min="6657" max="6657" width="13.85546875" style="259" customWidth="1"/>
    <col min="6658" max="6658" width="11.42578125" style="259"/>
    <col min="6659" max="6659" width="0" style="259" hidden="1" customWidth="1"/>
    <col min="6660" max="6661" width="11.42578125" style="259"/>
    <col min="6662" max="6662" width="12.42578125" style="259" bestFit="1" customWidth="1"/>
    <col min="6663" max="6663" width="9.140625" style="259" bestFit="1" customWidth="1"/>
    <col min="6664" max="6664" width="11" style="259" bestFit="1" customWidth="1"/>
    <col min="6665" max="6665" width="11.42578125" style="259"/>
    <col min="6666" max="6666" width="15.42578125" style="259" bestFit="1" customWidth="1"/>
    <col min="6667" max="6911" width="11.42578125" style="259"/>
    <col min="6912" max="6912" width="21.85546875" style="259" customWidth="1"/>
    <col min="6913" max="6913" width="13.85546875" style="259" customWidth="1"/>
    <col min="6914" max="6914" width="11.42578125" style="259"/>
    <col min="6915" max="6915" width="0" style="259" hidden="1" customWidth="1"/>
    <col min="6916" max="6917" width="11.42578125" style="259"/>
    <col min="6918" max="6918" width="12.42578125" style="259" bestFit="1" customWidth="1"/>
    <col min="6919" max="6919" width="9.140625" style="259" bestFit="1" customWidth="1"/>
    <col min="6920" max="6920" width="11" style="259" bestFit="1" customWidth="1"/>
    <col min="6921" max="6921" width="11.42578125" style="259"/>
    <col min="6922" max="6922" width="15.42578125" style="259" bestFit="1" customWidth="1"/>
    <col min="6923" max="7167" width="11.42578125" style="259"/>
    <col min="7168" max="7168" width="21.85546875" style="259" customWidth="1"/>
    <col min="7169" max="7169" width="13.85546875" style="259" customWidth="1"/>
    <col min="7170" max="7170" width="11.42578125" style="259"/>
    <col min="7171" max="7171" width="0" style="259" hidden="1" customWidth="1"/>
    <col min="7172" max="7173" width="11.42578125" style="259"/>
    <col min="7174" max="7174" width="12.42578125" style="259" bestFit="1" customWidth="1"/>
    <col min="7175" max="7175" width="9.140625" style="259" bestFit="1" customWidth="1"/>
    <col min="7176" max="7176" width="11" style="259" bestFit="1" customWidth="1"/>
    <col min="7177" max="7177" width="11.42578125" style="259"/>
    <col min="7178" max="7178" width="15.42578125" style="259" bestFit="1" customWidth="1"/>
    <col min="7179" max="7423" width="11.42578125" style="259"/>
    <col min="7424" max="7424" width="21.85546875" style="259" customWidth="1"/>
    <col min="7425" max="7425" width="13.85546875" style="259" customWidth="1"/>
    <col min="7426" max="7426" width="11.42578125" style="259"/>
    <col min="7427" max="7427" width="0" style="259" hidden="1" customWidth="1"/>
    <col min="7428" max="7429" width="11.42578125" style="259"/>
    <col min="7430" max="7430" width="12.42578125" style="259" bestFit="1" customWidth="1"/>
    <col min="7431" max="7431" width="9.140625" style="259" bestFit="1" customWidth="1"/>
    <col min="7432" max="7432" width="11" style="259" bestFit="1" customWidth="1"/>
    <col min="7433" max="7433" width="11.42578125" style="259"/>
    <col min="7434" max="7434" width="15.42578125" style="259" bestFit="1" customWidth="1"/>
    <col min="7435" max="7679" width="11.42578125" style="259"/>
    <col min="7680" max="7680" width="21.85546875" style="259" customWidth="1"/>
    <col min="7681" max="7681" width="13.85546875" style="259" customWidth="1"/>
    <col min="7682" max="7682" width="11.42578125" style="259"/>
    <col min="7683" max="7683" width="0" style="259" hidden="1" customWidth="1"/>
    <col min="7684" max="7685" width="11.42578125" style="259"/>
    <col min="7686" max="7686" width="12.42578125" style="259" bestFit="1" customWidth="1"/>
    <col min="7687" max="7687" width="9.140625" style="259" bestFit="1" customWidth="1"/>
    <col min="7688" max="7688" width="11" style="259" bestFit="1" customWidth="1"/>
    <col min="7689" max="7689" width="11.42578125" style="259"/>
    <col min="7690" max="7690" width="15.42578125" style="259" bestFit="1" customWidth="1"/>
    <col min="7691" max="7935" width="11.42578125" style="259"/>
    <col min="7936" max="7936" width="21.85546875" style="259" customWidth="1"/>
    <col min="7937" max="7937" width="13.85546875" style="259" customWidth="1"/>
    <col min="7938" max="7938" width="11.42578125" style="259"/>
    <col min="7939" max="7939" width="0" style="259" hidden="1" customWidth="1"/>
    <col min="7940" max="7941" width="11.42578125" style="259"/>
    <col min="7942" max="7942" width="12.42578125" style="259" bestFit="1" customWidth="1"/>
    <col min="7943" max="7943" width="9.140625" style="259" bestFit="1" customWidth="1"/>
    <col min="7944" max="7944" width="11" style="259" bestFit="1" customWidth="1"/>
    <col min="7945" max="7945" width="11.42578125" style="259"/>
    <col min="7946" max="7946" width="15.42578125" style="259" bestFit="1" customWidth="1"/>
    <col min="7947" max="8191" width="11.42578125" style="259"/>
    <col min="8192" max="8192" width="21.85546875" style="259" customWidth="1"/>
    <col min="8193" max="8193" width="13.85546875" style="259" customWidth="1"/>
    <col min="8194" max="8194" width="11.42578125" style="259"/>
    <col min="8195" max="8195" width="0" style="259" hidden="1" customWidth="1"/>
    <col min="8196" max="8197" width="11.42578125" style="259"/>
    <col min="8198" max="8198" width="12.42578125" style="259" bestFit="1" customWidth="1"/>
    <col min="8199" max="8199" width="9.140625" style="259" bestFit="1" customWidth="1"/>
    <col min="8200" max="8200" width="11" style="259" bestFit="1" customWidth="1"/>
    <col min="8201" max="8201" width="11.42578125" style="259"/>
    <col min="8202" max="8202" width="15.42578125" style="259" bestFit="1" customWidth="1"/>
    <col min="8203" max="8447" width="11.42578125" style="259"/>
    <col min="8448" max="8448" width="21.85546875" style="259" customWidth="1"/>
    <col min="8449" max="8449" width="13.85546875" style="259" customWidth="1"/>
    <col min="8450" max="8450" width="11.42578125" style="259"/>
    <col min="8451" max="8451" width="0" style="259" hidden="1" customWidth="1"/>
    <col min="8452" max="8453" width="11.42578125" style="259"/>
    <col min="8454" max="8454" width="12.42578125" style="259" bestFit="1" customWidth="1"/>
    <col min="8455" max="8455" width="9.140625" style="259" bestFit="1" customWidth="1"/>
    <col min="8456" max="8456" width="11" style="259" bestFit="1" customWidth="1"/>
    <col min="8457" max="8457" width="11.42578125" style="259"/>
    <col min="8458" max="8458" width="15.42578125" style="259" bestFit="1" customWidth="1"/>
    <col min="8459" max="8703" width="11.42578125" style="259"/>
    <col min="8704" max="8704" width="21.85546875" style="259" customWidth="1"/>
    <col min="8705" max="8705" width="13.85546875" style="259" customWidth="1"/>
    <col min="8706" max="8706" width="11.42578125" style="259"/>
    <col min="8707" max="8707" width="0" style="259" hidden="1" customWidth="1"/>
    <col min="8708" max="8709" width="11.42578125" style="259"/>
    <col min="8710" max="8710" width="12.42578125" style="259" bestFit="1" customWidth="1"/>
    <col min="8711" max="8711" width="9.140625" style="259" bestFit="1" customWidth="1"/>
    <col min="8712" max="8712" width="11" style="259" bestFit="1" customWidth="1"/>
    <col min="8713" max="8713" width="11.42578125" style="259"/>
    <col min="8714" max="8714" width="15.42578125" style="259" bestFit="1" customWidth="1"/>
    <col min="8715" max="8959" width="11.42578125" style="259"/>
    <col min="8960" max="8960" width="21.85546875" style="259" customWidth="1"/>
    <col min="8961" max="8961" width="13.85546875" style="259" customWidth="1"/>
    <col min="8962" max="8962" width="11.42578125" style="259"/>
    <col min="8963" max="8963" width="0" style="259" hidden="1" customWidth="1"/>
    <col min="8964" max="8965" width="11.42578125" style="259"/>
    <col min="8966" max="8966" width="12.42578125" style="259" bestFit="1" customWidth="1"/>
    <col min="8967" max="8967" width="9.140625" style="259" bestFit="1" customWidth="1"/>
    <col min="8968" max="8968" width="11" style="259" bestFit="1" customWidth="1"/>
    <col min="8969" max="8969" width="11.42578125" style="259"/>
    <col min="8970" max="8970" width="15.42578125" style="259" bestFit="1" customWidth="1"/>
    <col min="8971" max="9215" width="11.42578125" style="259"/>
    <col min="9216" max="9216" width="21.85546875" style="259" customWidth="1"/>
    <col min="9217" max="9217" width="13.85546875" style="259" customWidth="1"/>
    <col min="9218" max="9218" width="11.42578125" style="259"/>
    <col min="9219" max="9219" width="0" style="259" hidden="1" customWidth="1"/>
    <col min="9220" max="9221" width="11.42578125" style="259"/>
    <col min="9222" max="9222" width="12.42578125" style="259" bestFit="1" customWidth="1"/>
    <col min="9223" max="9223" width="9.140625" style="259" bestFit="1" customWidth="1"/>
    <col min="9224" max="9224" width="11" style="259" bestFit="1" customWidth="1"/>
    <col min="9225" max="9225" width="11.42578125" style="259"/>
    <col min="9226" max="9226" width="15.42578125" style="259" bestFit="1" customWidth="1"/>
    <col min="9227" max="9471" width="11.42578125" style="259"/>
    <col min="9472" max="9472" width="21.85546875" style="259" customWidth="1"/>
    <col min="9473" max="9473" width="13.85546875" style="259" customWidth="1"/>
    <col min="9474" max="9474" width="11.42578125" style="259"/>
    <col min="9475" max="9475" width="0" style="259" hidden="1" customWidth="1"/>
    <col min="9476" max="9477" width="11.42578125" style="259"/>
    <col min="9478" max="9478" width="12.42578125" style="259" bestFit="1" customWidth="1"/>
    <col min="9479" max="9479" width="9.140625" style="259" bestFit="1" customWidth="1"/>
    <col min="9480" max="9480" width="11" style="259" bestFit="1" customWidth="1"/>
    <col min="9481" max="9481" width="11.42578125" style="259"/>
    <col min="9482" max="9482" width="15.42578125" style="259" bestFit="1" customWidth="1"/>
    <col min="9483" max="9727" width="11.42578125" style="259"/>
    <col min="9728" max="9728" width="21.85546875" style="259" customWidth="1"/>
    <col min="9729" max="9729" width="13.85546875" style="259" customWidth="1"/>
    <col min="9730" max="9730" width="11.42578125" style="259"/>
    <col min="9731" max="9731" width="0" style="259" hidden="1" customWidth="1"/>
    <col min="9732" max="9733" width="11.42578125" style="259"/>
    <col min="9734" max="9734" width="12.42578125" style="259" bestFit="1" customWidth="1"/>
    <col min="9735" max="9735" width="9.140625" style="259" bestFit="1" customWidth="1"/>
    <col min="9736" max="9736" width="11" style="259" bestFit="1" customWidth="1"/>
    <col min="9737" max="9737" width="11.42578125" style="259"/>
    <col min="9738" max="9738" width="15.42578125" style="259" bestFit="1" customWidth="1"/>
    <col min="9739" max="9983" width="11.42578125" style="259"/>
    <col min="9984" max="9984" width="21.85546875" style="259" customWidth="1"/>
    <col min="9985" max="9985" width="13.85546875" style="259" customWidth="1"/>
    <col min="9986" max="9986" width="11.42578125" style="259"/>
    <col min="9987" max="9987" width="0" style="259" hidden="1" customWidth="1"/>
    <col min="9988" max="9989" width="11.42578125" style="259"/>
    <col min="9990" max="9990" width="12.42578125" style="259" bestFit="1" customWidth="1"/>
    <col min="9991" max="9991" width="9.140625" style="259" bestFit="1" customWidth="1"/>
    <col min="9992" max="9992" width="11" style="259" bestFit="1" customWidth="1"/>
    <col min="9993" max="9993" width="11.42578125" style="259"/>
    <col min="9994" max="9994" width="15.42578125" style="259" bestFit="1" customWidth="1"/>
    <col min="9995" max="10239" width="11.42578125" style="259"/>
    <col min="10240" max="10240" width="21.85546875" style="259" customWidth="1"/>
    <col min="10241" max="10241" width="13.85546875" style="259" customWidth="1"/>
    <col min="10242" max="10242" width="11.42578125" style="259"/>
    <col min="10243" max="10243" width="0" style="259" hidden="1" customWidth="1"/>
    <col min="10244" max="10245" width="11.42578125" style="259"/>
    <col min="10246" max="10246" width="12.42578125" style="259" bestFit="1" customWidth="1"/>
    <col min="10247" max="10247" width="9.140625" style="259" bestFit="1" customWidth="1"/>
    <col min="10248" max="10248" width="11" style="259" bestFit="1" customWidth="1"/>
    <col min="10249" max="10249" width="11.42578125" style="259"/>
    <col min="10250" max="10250" width="15.42578125" style="259" bestFit="1" customWidth="1"/>
    <col min="10251" max="10495" width="11.42578125" style="259"/>
    <col min="10496" max="10496" width="21.85546875" style="259" customWidth="1"/>
    <col min="10497" max="10497" width="13.85546875" style="259" customWidth="1"/>
    <col min="10498" max="10498" width="11.42578125" style="259"/>
    <col min="10499" max="10499" width="0" style="259" hidden="1" customWidth="1"/>
    <col min="10500" max="10501" width="11.42578125" style="259"/>
    <col min="10502" max="10502" width="12.42578125" style="259" bestFit="1" customWidth="1"/>
    <col min="10503" max="10503" width="9.140625" style="259" bestFit="1" customWidth="1"/>
    <col min="10504" max="10504" width="11" style="259" bestFit="1" customWidth="1"/>
    <col min="10505" max="10505" width="11.42578125" style="259"/>
    <col min="10506" max="10506" width="15.42578125" style="259" bestFit="1" customWidth="1"/>
    <col min="10507" max="10751" width="11.42578125" style="259"/>
    <col min="10752" max="10752" width="21.85546875" style="259" customWidth="1"/>
    <col min="10753" max="10753" width="13.85546875" style="259" customWidth="1"/>
    <col min="10754" max="10754" width="11.42578125" style="259"/>
    <col min="10755" max="10755" width="0" style="259" hidden="1" customWidth="1"/>
    <col min="10756" max="10757" width="11.42578125" style="259"/>
    <col min="10758" max="10758" width="12.42578125" style="259" bestFit="1" customWidth="1"/>
    <col min="10759" max="10759" width="9.140625" style="259" bestFit="1" customWidth="1"/>
    <col min="10760" max="10760" width="11" style="259" bestFit="1" customWidth="1"/>
    <col min="10761" max="10761" width="11.42578125" style="259"/>
    <col min="10762" max="10762" width="15.42578125" style="259" bestFit="1" customWidth="1"/>
    <col min="10763" max="11007" width="11.42578125" style="259"/>
    <col min="11008" max="11008" width="21.85546875" style="259" customWidth="1"/>
    <col min="11009" max="11009" width="13.85546875" style="259" customWidth="1"/>
    <col min="11010" max="11010" width="11.42578125" style="259"/>
    <col min="11011" max="11011" width="0" style="259" hidden="1" customWidth="1"/>
    <col min="11012" max="11013" width="11.42578125" style="259"/>
    <col min="11014" max="11014" width="12.42578125" style="259" bestFit="1" customWidth="1"/>
    <col min="11015" max="11015" width="9.140625" style="259" bestFit="1" customWidth="1"/>
    <col min="11016" max="11016" width="11" style="259" bestFit="1" customWidth="1"/>
    <col min="11017" max="11017" width="11.42578125" style="259"/>
    <col min="11018" max="11018" width="15.42578125" style="259" bestFit="1" customWidth="1"/>
    <col min="11019" max="11263" width="11.42578125" style="259"/>
    <col min="11264" max="11264" width="21.85546875" style="259" customWidth="1"/>
    <col min="11265" max="11265" width="13.85546875" style="259" customWidth="1"/>
    <col min="11266" max="11266" width="11.42578125" style="259"/>
    <col min="11267" max="11267" width="0" style="259" hidden="1" customWidth="1"/>
    <col min="11268" max="11269" width="11.42578125" style="259"/>
    <col min="11270" max="11270" width="12.42578125" style="259" bestFit="1" customWidth="1"/>
    <col min="11271" max="11271" width="9.140625" style="259" bestFit="1" customWidth="1"/>
    <col min="11272" max="11272" width="11" style="259" bestFit="1" customWidth="1"/>
    <col min="11273" max="11273" width="11.42578125" style="259"/>
    <col min="11274" max="11274" width="15.42578125" style="259" bestFit="1" customWidth="1"/>
    <col min="11275" max="11519" width="11.42578125" style="259"/>
    <col min="11520" max="11520" width="21.85546875" style="259" customWidth="1"/>
    <col min="11521" max="11521" width="13.85546875" style="259" customWidth="1"/>
    <col min="11522" max="11522" width="11.42578125" style="259"/>
    <col min="11523" max="11523" width="0" style="259" hidden="1" customWidth="1"/>
    <col min="11524" max="11525" width="11.42578125" style="259"/>
    <col min="11526" max="11526" width="12.42578125" style="259" bestFit="1" customWidth="1"/>
    <col min="11527" max="11527" width="9.140625" style="259" bestFit="1" customWidth="1"/>
    <col min="11528" max="11528" width="11" style="259" bestFit="1" customWidth="1"/>
    <col min="11529" max="11529" width="11.42578125" style="259"/>
    <col min="11530" max="11530" width="15.42578125" style="259" bestFit="1" customWidth="1"/>
    <col min="11531" max="11775" width="11.42578125" style="259"/>
    <col min="11776" max="11776" width="21.85546875" style="259" customWidth="1"/>
    <col min="11777" max="11777" width="13.85546875" style="259" customWidth="1"/>
    <col min="11778" max="11778" width="11.42578125" style="259"/>
    <col min="11779" max="11779" width="0" style="259" hidden="1" customWidth="1"/>
    <col min="11780" max="11781" width="11.42578125" style="259"/>
    <col min="11782" max="11782" width="12.42578125" style="259" bestFit="1" customWidth="1"/>
    <col min="11783" max="11783" width="9.140625" style="259" bestFit="1" customWidth="1"/>
    <col min="11784" max="11784" width="11" style="259" bestFit="1" customWidth="1"/>
    <col min="11785" max="11785" width="11.42578125" style="259"/>
    <col min="11786" max="11786" width="15.42578125" style="259" bestFit="1" customWidth="1"/>
    <col min="11787" max="12031" width="11.42578125" style="259"/>
    <col min="12032" max="12032" width="21.85546875" style="259" customWidth="1"/>
    <col min="12033" max="12033" width="13.85546875" style="259" customWidth="1"/>
    <col min="12034" max="12034" width="11.42578125" style="259"/>
    <col min="12035" max="12035" width="0" style="259" hidden="1" customWidth="1"/>
    <col min="12036" max="12037" width="11.42578125" style="259"/>
    <col min="12038" max="12038" width="12.42578125" style="259" bestFit="1" customWidth="1"/>
    <col min="12039" max="12039" width="9.140625" style="259" bestFit="1" customWidth="1"/>
    <col min="12040" max="12040" width="11" style="259" bestFit="1" customWidth="1"/>
    <col min="12041" max="12041" width="11.42578125" style="259"/>
    <col min="12042" max="12042" width="15.42578125" style="259" bestFit="1" customWidth="1"/>
    <col min="12043" max="12287" width="11.42578125" style="259"/>
    <col min="12288" max="12288" width="21.85546875" style="259" customWidth="1"/>
    <col min="12289" max="12289" width="13.85546875" style="259" customWidth="1"/>
    <col min="12290" max="12290" width="11.42578125" style="259"/>
    <col min="12291" max="12291" width="0" style="259" hidden="1" customWidth="1"/>
    <col min="12292" max="12293" width="11.42578125" style="259"/>
    <col min="12294" max="12294" width="12.42578125" style="259" bestFit="1" customWidth="1"/>
    <col min="12295" max="12295" width="9.140625" style="259" bestFit="1" customWidth="1"/>
    <col min="12296" max="12296" width="11" style="259" bestFit="1" customWidth="1"/>
    <col min="12297" max="12297" width="11.42578125" style="259"/>
    <col min="12298" max="12298" width="15.42578125" style="259" bestFit="1" customWidth="1"/>
    <col min="12299" max="12543" width="11.42578125" style="259"/>
    <col min="12544" max="12544" width="21.85546875" style="259" customWidth="1"/>
    <col min="12545" max="12545" width="13.85546875" style="259" customWidth="1"/>
    <col min="12546" max="12546" width="11.42578125" style="259"/>
    <col min="12547" max="12547" width="0" style="259" hidden="1" customWidth="1"/>
    <col min="12548" max="12549" width="11.42578125" style="259"/>
    <col min="12550" max="12550" width="12.42578125" style="259" bestFit="1" customWidth="1"/>
    <col min="12551" max="12551" width="9.140625" style="259" bestFit="1" customWidth="1"/>
    <col min="12552" max="12552" width="11" style="259" bestFit="1" customWidth="1"/>
    <col min="12553" max="12553" width="11.42578125" style="259"/>
    <col min="12554" max="12554" width="15.42578125" style="259" bestFit="1" customWidth="1"/>
    <col min="12555" max="12799" width="11.42578125" style="259"/>
    <col min="12800" max="12800" width="21.85546875" style="259" customWidth="1"/>
    <col min="12801" max="12801" width="13.85546875" style="259" customWidth="1"/>
    <col min="12802" max="12802" width="11.42578125" style="259"/>
    <col min="12803" max="12803" width="0" style="259" hidden="1" customWidth="1"/>
    <col min="12804" max="12805" width="11.42578125" style="259"/>
    <col min="12806" max="12806" width="12.42578125" style="259" bestFit="1" customWidth="1"/>
    <col min="12807" max="12807" width="9.140625" style="259" bestFit="1" customWidth="1"/>
    <col min="12808" max="12808" width="11" style="259" bestFit="1" customWidth="1"/>
    <col min="12809" max="12809" width="11.42578125" style="259"/>
    <col min="12810" max="12810" width="15.42578125" style="259" bestFit="1" customWidth="1"/>
    <col min="12811" max="13055" width="11.42578125" style="259"/>
    <col min="13056" max="13056" width="21.85546875" style="259" customWidth="1"/>
    <col min="13057" max="13057" width="13.85546875" style="259" customWidth="1"/>
    <col min="13058" max="13058" width="11.42578125" style="259"/>
    <col min="13059" max="13059" width="0" style="259" hidden="1" customWidth="1"/>
    <col min="13060" max="13061" width="11.42578125" style="259"/>
    <col min="13062" max="13062" width="12.42578125" style="259" bestFit="1" customWidth="1"/>
    <col min="13063" max="13063" width="9.140625" style="259" bestFit="1" customWidth="1"/>
    <col min="13064" max="13064" width="11" style="259" bestFit="1" customWidth="1"/>
    <col min="13065" max="13065" width="11.42578125" style="259"/>
    <col min="13066" max="13066" width="15.42578125" style="259" bestFit="1" customWidth="1"/>
    <col min="13067" max="13311" width="11.42578125" style="259"/>
    <col min="13312" max="13312" width="21.85546875" style="259" customWidth="1"/>
    <col min="13313" max="13313" width="13.85546875" style="259" customWidth="1"/>
    <col min="13314" max="13314" width="11.42578125" style="259"/>
    <col min="13315" max="13315" width="0" style="259" hidden="1" customWidth="1"/>
    <col min="13316" max="13317" width="11.42578125" style="259"/>
    <col min="13318" max="13318" width="12.42578125" style="259" bestFit="1" customWidth="1"/>
    <col min="13319" max="13319" width="9.140625" style="259" bestFit="1" customWidth="1"/>
    <col min="13320" max="13320" width="11" style="259" bestFit="1" customWidth="1"/>
    <col min="13321" max="13321" width="11.42578125" style="259"/>
    <col min="13322" max="13322" width="15.42578125" style="259" bestFit="1" customWidth="1"/>
    <col min="13323" max="13567" width="11.42578125" style="259"/>
    <col min="13568" max="13568" width="21.85546875" style="259" customWidth="1"/>
    <col min="13569" max="13569" width="13.85546875" style="259" customWidth="1"/>
    <col min="13570" max="13570" width="11.42578125" style="259"/>
    <col min="13571" max="13571" width="0" style="259" hidden="1" customWidth="1"/>
    <col min="13572" max="13573" width="11.42578125" style="259"/>
    <col min="13574" max="13574" width="12.42578125" style="259" bestFit="1" customWidth="1"/>
    <col min="13575" max="13575" width="9.140625" style="259" bestFit="1" customWidth="1"/>
    <col min="13576" max="13576" width="11" style="259" bestFit="1" customWidth="1"/>
    <col min="13577" max="13577" width="11.42578125" style="259"/>
    <col min="13578" max="13578" width="15.42578125" style="259" bestFit="1" customWidth="1"/>
    <col min="13579" max="13823" width="11.42578125" style="259"/>
    <col min="13824" max="13824" width="21.85546875" style="259" customWidth="1"/>
    <col min="13825" max="13825" width="13.85546875" style="259" customWidth="1"/>
    <col min="13826" max="13826" width="11.42578125" style="259"/>
    <col min="13827" max="13827" width="0" style="259" hidden="1" customWidth="1"/>
    <col min="13828" max="13829" width="11.42578125" style="259"/>
    <col min="13830" max="13830" width="12.42578125" style="259" bestFit="1" customWidth="1"/>
    <col min="13831" max="13831" width="9.140625" style="259" bestFit="1" customWidth="1"/>
    <col min="13832" max="13832" width="11" style="259" bestFit="1" customWidth="1"/>
    <col min="13833" max="13833" width="11.42578125" style="259"/>
    <col min="13834" max="13834" width="15.42578125" style="259" bestFit="1" customWidth="1"/>
    <col min="13835" max="14079" width="11.42578125" style="259"/>
    <col min="14080" max="14080" width="21.85546875" style="259" customWidth="1"/>
    <col min="14081" max="14081" width="13.85546875" style="259" customWidth="1"/>
    <col min="14082" max="14082" width="11.42578125" style="259"/>
    <col min="14083" max="14083" width="0" style="259" hidden="1" customWidth="1"/>
    <col min="14084" max="14085" width="11.42578125" style="259"/>
    <col min="14086" max="14086" width="12.42578125" style="259" bestFit="1" customWidth="1"/>
    <col min="14087" max="14087" width="9.140625" style="259" bestFit="1" customWidth="1"/>
    <col min="14088" max="14088" width="11" style="259" bestFit="1" customWidth="1"/>
    <col min="14089" max="14089" width="11.42578125" style="259"/>
    <col min="14090" max="14090" width="15.42578125" style="259" bestFit="1" customWidth="1"/>
    <col min="14091" max="14335" width="11.42578125" style="259"/>
    <col min="14336" max="14336" width="21.85546875" style="259" customWidth="1"/>
    <col min="14337" max="14337" width="13.85546875" style="259" customWidth="1"/>
    <col min="14338" max="14338" width="11.42578125" style="259"/>
    <col min="14339" max="14339" width="0" style="259" hidden="1" customWidth="1"/>
    <col min="14340" max="14341" width="11.42578125" style="259"/>
    <col min="14342" max="14342" width="12.42578125" style="259" bestFit="1" customWidth="1"/>
    <col min="14343" max="14343" width="9.140625" style="259" bestFit="1" customWidth="1"/>
    <col min="14344" max="14344" width="11" style="259" bestFit="1" customWidth="1"/>
    <col min="14345" max="14345" width="11.42578125" style="259"/>
    <col min="14346" max="14346" width="15.42578125" style="259" bestFit="1" customWidth="1"/>
    <col min="14347" max="14591" width="11.42578125" style="259"/>
    <col min="14592" max="14592" width="21.85546875" style="259" customWidth="1"/>
    <col min="14593" max="14593" width="13.85546875" style="259" customWidth="1"/>
    <col min="14594" max="14594" width="11.42578125" style="259"/>
    <col min="14595" max="14595" width="0" style="259" hidden="1" customWidth="1"/>
    <col min="14596" max="14597" width="11.42578125" style="259"/>
    <col min="14598" max="14598" width="12.42578125" style="259" bestFit="1" customWidth="1"/>
    <col min="14599" max="14599" width="9.140625" style="259" bestFit="1" customWidth="1"/>
    <col min="14600" max="14600" width="11" style="259" bestFit="1" customWidth="1"/>
    <col min="14601" max="14601" width="11.42578125" style="259"/>
    <col min="14602" max="14602" width="15.42578125" style="259" bestFit="1" customWidth="1"/>
    <col min="14603" max="14847" width="11.42578125" style="259"/>
    <col min="14848" max="14848" width="21.85546875" style="259" customWidth="1"/>
    <col min="14849" max="14849" width="13.85546875" style="259" customWidth="1"/>
    <col min="14850" max="14850" width="11.42578125" style="259"/>
    <col min="14851" max="14851" width="0" style="259" hidden="1" customWidth="1"/>
    <col min="14852" max="14853" width="11.42578125" style="259"/>
    <col min="14854" max="14854" width="12.42578125" style="259" bestFit="1" customWidth="1"/>
    <col min="14855" max="14855" width="9.140625" style="259" bestFit="1" customWidth="1"/>
    <col min="14856" max="14856" width="11" style="259" bestFit="1" customWidth="1"/>
    <col min="14857" max="14857" width="11.42578125" style="259"/>
    <col min="14858" max="14858" width="15.42578125" style="259" bestFit="1" customWidth="1"/>
    <col min="14859" max="15103" width="11.42578125" style="259"/>
    <col min="15104" max="15104" width="21.85546875" style="259" customWidth="1"/>
    <col min="15105" max="15105" width="13.85546875" style="259" customWidth="1"/>
    <col min="15106" max="15106" width="11.42578125" style="259"/>
    <col min="15107" max="15107" width="0" style="259" hidden="1" customWidth="1"/>
    <col min="15108" max="15109" width="11.42578125" style="259"/>
    <col min="15110" max="15110" width="12.42578125" style="259" bestFit="1" customWidth="1"/>
    <col min="15111" max="15111" width="9.140625" style="259" bestFit="1" customWidth="1"/>
    <col min="15112" max="15112" width="11" style="259" bestFit="1" customWidth="1"/>
    <col min="15113" max="15113" width="11.42578125" style="259"/>
    <col min="15114" max="15114" width="15.42578125" style="259" bestFit="1" customWidth="1"/>
    <col min="15115" max="15359" width="11.42578125" style="259"/>
    <col min="15360" max="15360" width="21.85546875" style="259" customWidth="1"/>
    <col min="15361" max="15361" width="13.85546875" style="259" customWidth="1"/>
    <col min="15362" max="15362" width="11.42578125" style="259"/>
    <col min="15363" max="15363" width="0" style="259" hidden="1" customWidth="1"/>
    <col min="15364" max="15365" width="11.42578125" style="259"/>
    <col min="15366" max="15366" width="12.42578125" style="259" bestFit="1" customWidth="1"/>
    <col min="15367" max="15367" width="9.140625" style="259" bestFit="1" customWidth="1"/>
    <col min="15368" max="15368" width="11" style="259" bestFit="1" customWidth="1"/>
    <col min="15369" max="15369" width="11.42578125" style="259"/>
    <col min="15370" max="15370" width="15.42578125" style="259" bestFit="1" customWidth="1"/>
    <col min="15371" max="15615" width="11.42578125" style="259"/>
    <col min="15616" max="15616" width="21.85546875" style="259" customWidth="1"/>
    <col min="15617" max="15617" width="13.85546875" style="259" customWidth="1"/>
    <col min="15618" max="15618" width="11.42578125" style="259"/>
    <col min="15619" max="15619" width="0" style="259" hidden="1" customWidth="1"/>
    <col min="15620" max="15621" width="11.42578125" style="259"/>
    <col min="15622" max="15622" width="12.42578125" style="259" bestFit="1" customWidth="1"/>
    <col min="15623" max="15623" width="9.140625" style="259" bestFit="1" customWidth="1"/>
    <col min="15624" max="15624" width="11" style="259" bestFit="1" customWidth="1"/>
    <col min="15625" max="15625" width="11.42578125" style="259"/>
    <col min="15626" max="15626" width="15.42578125" style="259" bestFit="1" customWidth="1"/>
    <col min="15627" max="15871" width="11.42578125" style="259"/>
    <col min="15872" max="15872" width="21.85546875" style="259" customWidth="1"/>
    <col min="15873" max="15873" width="13.85546875" style="259" customWidth="1"/>
    <col min="15874" max="15874" width="11.42578125" style="259"/>
    <col min="15875" max="15875" width="0" style="259" hidden="1" customWidth="1"/>
    <col min="15876" max="15877" width="11.42578125" style="259"/>
    <col min="15878" max="15878" width="12.42578125" style="259" bestFit="1" customWidth="1"/>
    <col min="15879" max="15879" width="9.140625" style="259" bestFit="1" customWidth="1"/>
    <col min="15880" max="15880" width="11" style="259" bestFit="1" customWidth="1"/>
    <col min="15881" max="15881" width="11.42578125" style="259"/>
    <col min="15882" max="15882" width="15.42578125" style="259" bestFit="1" customWidth="1"/>
    <col min="15883" max="16127" width="11.42578125" style="259"/>
    <col min="16128" max="16128" width="21.85546875" style="259" customWidth="1"/>
    <col min="16129" max="16129" width="13.85546875" style="259" customWidth="1"/>
    <col min="16130" max="16130" width="11.42578125" style="259"/>
    <col min="16131" max="16131" width="0" style="259" hidden="1" customWidth="1"/>
    <col min="16132" max="16133" width="11.42578125" style="259"/>
    <col min="16134" max="16134" width="12.42578125" style="259" bestFit="1" customWidth="1"/>
    <col min="16135" max="16135" width="9.140625" style="259" bestFit="1" customWidth="1"/>
    <col min="16136" max="16136" width="11" style="259" bestFit="1" customWidth="1"/>
    <col min="16137" max="16137" width="11.42578125" style="259"/>
    <col min="16138" max="16138" width="15.42578125" style="259" bestFit="1" customWidth="1"/>
    <col min="16139" max="16383" width="11.42578125" style="259"/>
    <col min="16384" max="16384" width="11.42578125" style="259" customWidth="1"/>
  </cols>
  <sheetData>
    <row r="1" spans="1:12" ht="13.5" thickBot="1" x14ac:dyDescent="0.25">
      <c r="A1" s="355" t="s">
        <v>99</v>
      </c>
      <c r="B1" s="272"/>
      <c r="G1" s="580"/>
    </row>
    <row r="2" spans="1:12" ht="13.5" thickBot="1" x14ac:dyDescent="0.25">
      <c r="A2" s="583"/>
      <c r="B2" s="448">
        <v>2018</v>
      </c>
      <c r="C2" s="474">
        <v>2019</v>
      </c>
      <c r="D2" s="449">
        <v>2020</v>
      </c>
      <c r="E2" s="675">
        <v>2021</v>
      </c>
      <c r="F2" s="585">
        <v>2022</v>
      </c>
      <c r="G2" s="584" t="s">
        <v>114</v>
      </c>
    </row>
    <row r="3" spans="1:12" x14ac:dyDescent="0.2">
      <c r="A3" s="582" t="s">
        <v>100</v>
      </c>
      <c r="B3" s="356">
        <v>33</v>
      </c>
      <c r="C3" s="468">
        <v>20</v>
      </c>
      <c r="D3" s="588">
        <f>BEaH20!M11</f>
        <v>15</v>
      </c>
      <c r="E3" s="588">
        <f>BEaH21!M11</f>
        <v>32</v>
      </c>
      <c r="F3" s="588">
        <f>BEaH22!M11</f>
        <v>15</v>
      </c>
      <c r="G3" s="677">
        <f>SUM(B3:F3)/5</f>
        <v>23</v>
      </c>
      <c r="H3" s="586"/>
    </row>
    <row r="4" spans="1:12" x14ac:dyDescent="0.2">
      <c r="A4" s="455" t="s">
        <v>101</v>
      </c>
      <c r="B4" s="265">
        <v>53</v>
      </c>
      <c r="C4" s="458">
        <v>51</v>
      </c>
      <c r="D4" s="265">
        <f>BEaH20!T11</f>
        <v>45</v>
      </c>
      <c r="E4" s="265">
        <f>BEaH21!T11</f>
        <v>54</v>
      </c>
      <c r="F4" s="265">
        <f>BEaH22!T11</f>
        <v>31</v>
      </c>
      <c r="G4" s="677">
        <f t="shared" ref="G4:G5" si="0">SUM(B4:F4)/5</f>
        <v>46.8</v>
      </c>
    </row>
    <row r="5" spans="1:12" ht="13.5" thickBot="1" x14ac:dyDescent="0.25">
      <c r="A5" s="456" t="s">
        <v>102</v>
      </c>
      <c r="B5" s="444">
        <v>33</v>
      </c>
      <c r="C5" s="459">
        <v>14</v>
      </c>
      <c r="D5" s="444">
        <f>BEaH20!AA11</f>
        <v>41</v>
      </c>
      <c r="E5" s="444">
        <f>BEaH21!AA11</f>
        <v>28</v>
      </c>
      <c r="F5" s="678">
        <f>BEaH22!AA11</f>
        <v>11</v>
      </c>
      <c r="G5" s="676">
        <f t="shared" si="0"/>
        <v>25.4</v>
      </c>
    </row>
    <row r="6" spans="1:12" x14ac:dyDescent="0.2">
      <c r="A6" s="453"/>
      <c r="B6" s="268"/>
      <c r="C6" s="268"/>
      <c r="D6" s="268"/>
      <c r="E6" s="268"/>
      <c r="F6" s="268"/>
      <c r="G6" s="268"/>
      <c r="H6" s="268"/>
      <c r="I6" s="268"/>
    </row>
    <row r="13" spans="1:12" x14ac:dyDescent="0.2">
      <c r="L13" s="268"/>
    </row>
    <row r="16" spans="1:12" x14ac:dyDescent="0.2">
      <c r="K16" s="268"/>
    </row>
    <row r="21" spans="10:10" x14ac:dyDescent="0.2">
      <c r="J21" s="360"/>
    </row>
    <row r="25" spans="10:10" x14ac:dyDescent="0.2">
      <c r="J25" s="268"/>
    </row>
  </sheetData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9">
    <pageSetUpPr fitToPage="1"/>
  </sheetPr>
  <dimension ref="B1:V10"/>
  <sheetViews>
    <sheetView topLeftCell="B1" zoomScaleNormal="100" workbookViewId="0">
      <selection activeCell="M9" sqref="M9"/>
    </sheetView>
  </sheetViews>
  <sheetFormatPr baseColWidth="10" defaultColWidth="11.42578125" defaultRowHeight="12.75" x14ac:dyDescent="0.2"/>
  <cols>
    <col min="1" max="16384" width="11.42578125" style="259"/>
  </cols>
  <sheetData>
    <row r="1" spans="2:22" ht="13.5" thickBot="1" x14ac:dyDescent="0.25">
      <c r="D1" s="259" t="s">
        <v>103</v>
      </c>
      <c r="U1" s="580"/>
    </row>
    <row r="2" spans="2:22" ht="13.5" thickBot="1" x14ac:dyDescent="0.25">
      <c r="B2" s="447"/>
      <c r="C2" s="448">
        <v>2003</v>
      </c>
      <c r="D2" s="448">
        <v>2004</v>
      </c>
      <c r="E2" s="448">
        <v>2005</v>
      </c>
      <c r="F2" s="448">
        <v>2006</v>
      </c>
      <c r="G2" s="448">
        <v>2007</v>
      </c>
      <c r="H2" s="448">
        <v>2008</v>
      </c>
      <c r="I2" s="448">
        <v>2009</v>
      </c>
      <c r="J2" s="448">
        <v>2010</v>
      </c>
      <c r="K2" s="448">
        <v>2011</v>
      </c>
      <c r="L2" s="448">
        <v>2012</v>
      </c>
      <c r="M2" s="448">
        <v>2013</v>
      </c>
      <c r="N2" s="448">
        <v>2014</v>
      </c>
      <c r="O2" s="448">
        <v>2015</v>
      </c>
      <c r="P2" s="448">
        <v>2016</v>
      </c>
      <c r="Q2" s="448">
        <v>2017</v>
      </c>
      <c r="R2" s="448">
        <v>2018</v>
      </c>
      <c r="S2" s="448">
        <v>2019</v>
      </c>
      <c r="T2" s="681">
        <v>2020</v>
      </c>
      <c r="U2" s="448">
        <v>2021</v>
      </c>
      <c r="V2" s="449">
        <v>2022</v>
      </c>
    </row>
    <row r="3" spans="2:22" ht="13.5" thickBot="1" x14ac:dyDescent="0.25">
      <c r="B3" s="447" t="s">
        <v>93</v>
      </c>
      <c r="C3" s="556">
        <v>11864</v>
      </c>
      <c r="D3" s="556">
        <v>11956</v>
      </c>
      <c r="E3" s="556">
        <v>11536</v>
      </c>
      <c r="F3" s="556">
        <v>12389</v>
      </c>
      <c r="G3" s="461">
        <v>12049</v>
      </c>
      <c r="H3" s="461">
        <v>12106</v>
      </c>
      <c r="I3" s="461">
        <v>11886</v>
      </c>
      <c r="J3" s="462">
        <v>11597</v>
      </c>
      <c r="K3" s="462">
        <v>11094</v>
      </c>
      <c r="L3" s="462">
        <v>10465</v>
      </c>
      <c r="M3" s="462">
        <f>BEaH13!G25</f>
        <v>10145</v>
      </c>
      <c r="N3" s="556">
        <f>BEaH14!$G$25</f>
        <v>9389</v>
      </c>
      <c r="O3" s="462">
        <f>BEaH15!G25</f>
        <v>9591</v>
      </c>
      <c r="P3" s="462">
        <f>BEaH16!G25</f>
        <v>9627</v>
      </c>
      <c r="Q3" s="556">
        <f>BEaH17!G25</f>
        <v>9873</v>
      </c>
      <c r="R3" s="556">
        <f>BEaH18!G25</f>
        <v>9432</v>
      </c>
      <c r="S3" s="556">
        <f>BEaH19!G25</f>
        <v>9005</v>
      </c>
      <c r="T3" s="679">
        <f>BEaH20!G25</f>
        <v>9096</v>
      </c>
      <c r="U3" s="556">
        <f>BEaH21!G25</f>
        <v>9079</v>
      </c>
      <c r="V3" s="680">
        <f>BEaH22!G25</f>
        <v>8860</v>
      </c>
    </row>
    <row r="4" spans="2:22" x14ac:dyDescent="0.2">
      <c r="C4" s="435"/>
      <c r="D4" s="435"/>
      <c r="E4" s="435"/>
      <c r="F4" s="435"/>
      <c r="G4" s="269"/>
      <c r="H4" s="269"/>
      <c r="I4" s="269"/>
      <c r="J4" s="267"/>
      <c r="K4" s="268"/>
      <c r="L4" s="268"/>
      <c r="M4" s="268"/>
      <c r="N4" s="268"/>
      <c r="O4" s="268"/>
      <c r="P4" s="268"/>
      <c r="Q4" s="268"/>
    </row>
    <row r="5" spans="2:22" x14ac:dyDescent="0.2">
      <c r="C5" s="435"/>
      <c r="D5" s="435"/>
      <c r="E5" s="435"/>
      <c r="F5" s="435"/>
      <c r="G5" s="436"/>
      <c r="H5" s="270"/>
      <c r="I5" s="270"/>
      <c r="J5" s="271"/>
      <c r="K5" s="268"/>
      <c r="L5" s="268"/>
      <c r="M5" s="268"/>
      <c r="N5" s="268"/>
      <c r="O5" s="268"/>
      <c r="P5" s="268"/>
      <c r="Q5" s="268"/>
    </row>
    <row r="6" spans="2:22" x14ac:dyDescent="0.2">
      <c r="C6" s="435"/>
      <c r="D6" s="435"/>
      <c r="E6" s="435"/>
      <c r="F6" s="435"/>
      <c r="G6" s="269"/>
      <c r="H6" s="269"/>
      <c r="I6" s="270"/>
      <c r="J6" s="267"/>
      <c r="K6" s="268"/>
      <c r="L6" s="268"/>
      <c r="M6" s="268"/>
      <c r="N6" s="268"/>
      <c r="O6" s="268"/>
      <c r="P6" s="268"/>
      <c r="Q6" s="268"/>
    </row>
    <row r="7" spans="2:22" x14ac:dyDescent="0.2">
      <c r="C7" s="435"/>
      <c r="D7" s="435"/>
      <c r="E7" s="435"/>
      <c r="F7" s="435"/>
      <c r="G7" s="269"/>
      <c r="H7" s="269"/>
      <c r="I7" s="270"/>
      <c r="J7" s="267"/>
      <c r="K7" s="268"/>
      <c r="L7" s="268"/>
      <c r="M7" s="268"/>
      <c r="N7" s="268"/>
      <c r="O7" s="268"/>
      <c r="P7" s="268"/>
      <c r="Q7" s="268"/>
    </row>
    <row r="10" spans="2:22" x14ac:dyDescent="0.2">
      <c r="K10" s="259" t="s">
        <v>71</v>
      </c>
    </row>
  </sheetData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4"/>
  <dimension ref="B3:C14"/>
  <sheetViews>
    <sheetView zoomScale="80" zoomScaleNormal="80" workbookViewId="0">
      <selection activeCell="L50" sqref="L50"/>
    </sheetView>
  </sheetViews>
  <sheetFormatPr baseColWidth="10" defaultRowHeight="12.75" x14ac:dyDescent="0.2"/>
  <cols>
    <col min="1" max="1" width="11.42578125" style="259"/>
    <col min="2" max="2" width="30.42578125" style="259" customWidth="1"/>
    <col min="3" max="243" width="11.42578125" style="259"/>
    <col min="244" max="244" width="25.42578125" style="259" customWidth="1"/>
    <col min="245" max="248" width="0" style="259" hidden="1" customWidth="1"/>
    <col min="249" max="250" width="11.42578125" style="259"/>
    <col min="251" max="251" width="0" style="259" hidden="1" customWidth="1"/>
    <col min="252" max="252" width="17.5703125" style="259" customWidth="1"/>
    <col min="253" max="253" width="11.42578125" style="259"/>
    <col min="254" max="254" width="26" style="259" bestFit="1" customWidth="1"/>
    <col min="255" max="257" width="11.42578125" style="259"/>
    <col min="258" max="258" width="30.42578125" style="259" customWidth="1"/>
    <col min="259" max="499" width="11.42578125" style="259"/>
    <col min="500" max="500" width="25.42578125" style="259" customWidth="1"/>
    <col min="501" max="504" width="0" style="259" hidden="1" customWidth="1"/>
    <col min="505" max="506" width="11.42578125" style="259"/>
    <col min="507" max="507" width="0" style="259" hidden="1" customWidth="1"/>
    <col min="508" max="508" width="17.5703125" style="259" customWidth="1"/>
    <col min="509" max="509" width="11.42578125" style="259"/>
    <col min="510" max="510" width="26" style="259" bestFit="1" customWidth="1"/>
    <col min="511" max="513" width="11.42578125" style="259"/>
    <col min="514" max="514" width="30.42578125" style="259" customWidth="1"/>
    <col min="515" max="755" width="11.42578125" style="259"/>
    <col min="756" max="756" width="25.42578125" style="259" customWidth="1"/>
    <col min="757" max="760" width="0" style="259" hidden="1" customWidth="1"/>
    <col min="761" max="762" width="11.42578125" style="259"/>
    <col min="763" max="763" width="0" style="259" hidden="1" customWidth="1"/>
    <col min="764" max="764" width="17.5703125" style="259" customWidth="1"/>
    <col min="765" max="765" width="11.42578125" style="259"/>
    <col min="766" max="766" width="26" style="259" bestFit="1" customWidth="1"/>
    <col min="767" max="769" width="11.42578125" style="259"/>
    <col min="770" max="770" width="30.42578125" style="259" customWidth="1"/>
    <col min="771" max="1011" width="11.42578125" style="259"/>
    <col min="1012" max="1012" width="25.42578125" style="259" customWidth="1"/>
    <col min="1013" max="1016" width="0" style="259" hidden="1" customWidth="1"/>
    <col min="1017" max="1018" width="11.42578125" style="259"/>
    <col min="1019" max="1019" width="0" style="259" hidden="1" customWidth="1"/>
    <col min="1020" max="1020" width="17.5703125" style="259" customWidth="1"/>
    <col min="1021" max="1021" width="11.42578125" style="259"/>
    <col min="1022" max="1022" width="26" style="259" bestFit="1" customWidth="1"/>
    <col min="1023" max="1025" width="11.42578125" style="259"/>
    <col min="1026" max="1026" width="30.42578125" style="259" customWidth="1"/>
    <col min="1027" max="1267" width="11.42578125" style="259"/>
    <col min="1268" max="1268" width="25.42578125" style="259" customWidth="1"/>
    <col min="1269" max="1272" width="0" style="259" hidden="1" customWidth="1"/>
    <col min="1273" max="1274" width="11.42578125" style="259"/>
    <col min="1275" max="1275" width="0" style="259" hidden="1" customWidth="1"/>
    <col min="1276" max="1276" width="17.5703125" style="259" customWidth="1"/>
    <col min="1277" max="1277" width="11.42578125" style="259"/>
    <col min="1278" max="1278" width="26" style="259" bestFit="1" customWidth="1"/>
    <col min="1279" max="1281" width="11.42578125" style="259"/>
    <col min="1282" max="1282" width="30.42578125" style="259" customWidth="1"/>
    <col min="1283" max="1523" width="11.42578125" style="259"/>
    <col min="1524" max="1524" width="25.42578125" style="259" customWidth="1"/>
    <col min="1525" max="1528" width="0" style="259" hidden="1" customWidth="1"/>
    <col min="1529" max="1530" width="11.42578125" style="259"/>
    <col min="1531" max="1531" width="0" style="259" hidden="1" customWidth="1"/>
    <col min="1532" max="1532" width="17.5703125" style="259" customWidth="1"/>
    <col min="1533" max="1533" width="11.42578125" style="259"/>
    <col min="1534" max="1534" width="26" style="259" bestFit="1" customWidth="1"/>
    <col min="1535" max="1537" width="11.42578125" style="259"/>
    <col min="1538" max="1538" width="30.42578125" style="259" customWidth="1"/>
    <col min="1539" max="1779" width="11.42578125" style="259"/>
    <col min="1780" max="1780" width="25.42578125" style="259" customWidth="1"/>
    <col min="1781" max="1784" width="0" style="259" hidden="1" customWidth="1"/>
    <col min="1785" max="1786" width="11.42578125" style="259"/>
    <col min="1787" max="1787" width="0" style="259" hidden="1" customWidth="1"/>
    <col min="1788" max="1788" width="17.5703125" style="259" customWidth="1"/>
    <col min="1789" max="1789" width="11.42578125" style="259"/>
    <col min="1790" max="1790" width="26" style="259" bestFit="1" customWidth="1"/>
    <col min="1791" max="1793" width="11.42578125" style="259"/>
    <col min="1794" max="1794" width="30.42578125" style="259" customWidth="1"/>
    <col min="1795" max="2035" width="11.42578125" style="259"/>
    <col min="2036" max="2036" width="25.42578125" style="259" customWidth="1"/>
    <col min="2037" max="2040" width="0" style="259" hidden="1" customWidth="1"/>
    <col min="2041" max="2042" width="11.42578125" style="259"/>
    <col min="2043" max="2043" width="0" style="259" hidden="1" customWidth="1"/>
    <col min="2044" max="2044" width="17.5703125" style="259" customWidth="1"/>
    <col min="2045" max="2045" width="11.42578125" style="259"/>
    <col min="2046" max="2046" width="26" style="259" bestFit="1" customWidth="1"/>
    <col min="2047" max="2049" width="11.42578125" style="259"/>
    <col min="2050" max="2050" width="30.42578125" style="259" customWidth="1"/>
    <col min="2051" max="2291" width="11.42578125" style="259"/>
    <col min="2292" max="2292" width="25.42578125" style="259" customWidth="1"/>
    <col min="2293" max="2296" width="0" style="259" hidden="1" customWidth="1"/>
    <col min="2297" max="2298" width="11.42578125" style="259"/>
    <col min="2299" max="2299" width="0" style="259" hidden="1" customWidth="1"/>
    <col min="2300" max="2300" width="17.5703125" style="259" customWidth="1"/>
    <col min="2301" max="2301" width="11.42578125" style="259"/>
    <col min="2302" max="2302" width="26" style="259" bestFit="1" customWidth="1"/>
    <col min="2303" max="2305" width="11.42578125" style="259"/>
    <col min="2306" max="2306" width="30.42578125" style="259" customWidth="1"/>
    <col min="2307" max="2547" width="11.42578125" style="259"/>
    <col min="2548" max="2548" width="25.42578125" style="259" customWidth="1"/>
    <col min="2549" max="2552" width="0" style="259" hidden="1" customWidth="1"/>
    <col min="2553" max="2554" width="11.42578125" style="259"/>
    <col min="2555" max="2555" width="0" style="259" hidden="1" customWidth="1"/>
    <col min="2556" max="2556" width="17.5703125" style="259" customWidth="1"/>
    <col min="2557" max="2557" width="11.42578125" style="259"/>
    <col min="2558" max="2558" width="26" style="259" bestFit="1" customWidth="1"/>
    <col min="2559" max="2561" width="11.42578125" style="259"/>
    <col min="2562" max="2562" width="30.42578125" style="259" customWidth="1"/>
    <col min="2563" max="2803" width="11.42578125" style="259"/>
    <col min="2804" max="2804" width="25.42578125" style="259" customWidth="1"/>
    <col min="2805" max="2808" width="0" style="259" hidden="1" customWidth="1"/>
    <col min="2809" max="2810" width="11.42578125" style="259"/>
    <col min="2811" max="2811" width="0" style="259" hidden="1" customWidth="1"/>
    <col min="2812" max="2812" width="17.5703125" style="259" customWidth="1"/>
    <col min="2813" max="2813" width="11.42578125" style="259"/>
    <col min="2814" max="2814" width="26" style="259" bestFit="1" customWidth="1"/>
    <col min="2815" max="2817" width="11.42578125" style="259"/>
    <col min="2818" max="2818" width="30.42578125" style="259" customWidth="1"/>
    <col min="2819" max="3059" width="11.42578125" style="259"/>
    <col min="3060" max="3060" width="25.42578125" style="259" customWidth="1"/>
    <col min="3061" max="3064" width="0" style="259" hidden="1" customWidth="1"/>
    <col min="3065" max="3066" width="11.42578125" style="259"/>
    <col min="3067" max="3067" width="0" style="259" hidden="1" customWidth="1"/>
    <col min="3068" max="3068" width="17.5703125" style="259" customWidth="1"/>
    <col min="3069" max="3069" width="11.42578125" style="259"/>
    <col min="3070" max="3070" width="26" style="259" bestFit="1" customWidth="1"/>
    <col min="3071" max="3073" width="11.42578125" style="259"/>
    <col min="3074" max="3074" width="30.42578125" style="259" customWidth="1"/>
    <col min="3075" max="3315" width="11.42578125" style="259"/>
    <col min="3316" max="3316" width="25.42578125" style="259" customWidth="1"/>
    <col min="3317" max="3320" width="0" style="259" hidden="1" customWidth="1"/>
    <col min="3321" max="3322" width="11.42578125" style="259"/>
    <col min="3323" max="3323" width="0" style="259" hidden="1" customWidth="1"/>
    <col min="3324" max="3324" width="17.5703125" style="259" customWidth="1"/>
    <col min="3325" max="3325" width="11.42578125" style="259"/>
    <col min="3326" max="3326" width="26" style="259" bestFit="1" customWidth="1"/>
    <col min="3327" max="3329" width="11.42578125" style="259"/>
    <col min="3330" max="3330" width="30.42578125" style="259" customWidth="1"/>
    <col min="3331" max="3571" width="11.42578125" style="259"/>
    <col min="3572" max="3572" width="25.42578125" style="259" customWidth="1"/>
    <col min="3573" max="3576" width="0" style="259" hidden="1" customWidth="1"/>
    <col min="3577" max="3578" width="11.42578125" style="259"/>
    <col min="3579" max="3579" width="0" style="259" hidden="1" customWidth="1"/>
    <col min="3580" max="3580" width="17.5703125" style="259" customWidth="1"/>
    <col min="3581" max="3581" width="11.42578125" style="259"/>
    <col min="3582" max="3582" width="26" style="259" bestFit="1" customWidth="1"/>
    <col min="3583" max="3585" width="11.42578125" style="259"/>
    <col min="3586" max="3586" width="30.42578125" style="259" customWidth="1"/>
    <col min="3587" max="3827" width="11.42578125" style="259"/>
    <col min="3828" max="3828" width="25.42578125" style="259" customWidth="1"/>
    <col min="3829" max="3832" width="0" style="259" hidden="1" customWidth="1"/>
    <col min="3833" max="3834" width="11.42578125" style="259"/>
    <col min="3835" max="3835" width="0" style="259" hidden="1" customWidth="1"/>
    <col min="3836" max="3836" width="17.5703125" style="259" customWidth="1"/>
    <col min="3837" max="3837" width="11.42578125" style="259"/>
    <col min="3838" max="3838" width="26" style="259" bestFit="1" customWidth="1"/>
    <col min="3839" max="3841" width="11.42578125" style="259"/>
    <col min="3842" max="3842" width="30.42578125" style="259" customWidth="1"/>
    <col min="3843" max="4083" width="11.42578125" style="259"/>
    <col min="4084" max="4084" width="25.42578125" style="259" customWidth="1"/>
    <col min="4085" max="4088" width="0" style="259" hidden="1" customWidth="1"/>
    <col min="4089" max="4090" width="11.42578125" style="259"/>
    <col min="4091" max="4091" width="0" style="259" hidden="1" customWidth="1"/>
    <col min="4092" max="4092" width="17.5703125" style="259" customWidth="1"/>
    <col min="4093" max="4093" width="11.42578125" style="259"/>
    <col min="4094" max="4094" width="26" style="259" bestFit="1" customWidth="1"/>
    <col min="4095" max="4097" width="11.42578125" style="259"/>
    <col min="4098" max="4098" width="30.42578125" style="259" customWidth="1"/>
    <col min="4099" max="4339" width="11.42578125" style="259"/>
    <col min="4340" max="4340" width="25.42578125" style="259" customWidth="1"/>
    <col min="4341" max="4344" width="0" style="259" hidden="1" customWidth="1"/>
    <col min="4345" max="4346" width="11.42578125" style="259"/>
    <col min="4347" max="4347" width="0" style="259" hidden="1" customWidth="1"/>
    <col min="4348" max="4348" width="17.5703125" style="259" customWidth="1"/>
    <col min="4349" max="4349" width="11.42578125" style="259"/>
    <col min="4350" max="4350" width="26" style="259" bestFit="1" customWidth="1"/>
    <col min="4351" max="4353" width="11.42578125" style="259"/>
    <col min="4354" max="4354" width="30.42578125" style="259" customWidth="1"/>
    <col min="4355" max="4595" width="11.42578125" style="259"/>
    <col min="4596" max="4596" width="25.42578125" style="259" customWidth="1"/>
    <col min="4597" max="4600" width="0" style="259" hidden="1" customWidth="1"/>
    <col min="4601" max="4602" width="11.42578125" style="259"/>
    <col min="4603" max="4603" width="0" style="259" hidden="1" customWidth="1"/>
    <col min="4604" max="4604" width="17.5703125" style="259" customWidth="1"/>
    <col min="4605" max="4605" width="11.42578125" style="259"/>
    <col min="4606" max="4606" width="26" style="259" bestFit="1" customWidth="1"/>
    <col min="4607" max="4609" width="11.42578125" style="259"/>
    <col min="4610" max="4610" width="30.42578125" style="259" customWidth="1"/>
    <col min="4611" max="4851" width="11.42578125" style="259"/>
    <col min="4852" max="4852" width="25.42578125" style="259" customWidth="1"/>
    <col min="4853" max="4856" width="0" style="259" hidden="1" customWidth="1"/>
    <col min="4857" max="4858" width="11.42578125" style="259"/>
    <col min="4859" max="4859" width="0" style="259" hidden="1" customWidth="1"/>
    <col min="4860" max="4860" width="17.5703125" style="259" customWidth="1"/>
    <col min="4861" max="4861" width="11.42578125" style="259"/>
    <col min="4862" max="4862" width="26" style="259" bestFit="1" customWidth="1"/>
    <col min="4863" max="4865" width="11.42578125" style="259"/>
    <col min="4866" max="4866" width="30.42578125" style="259" customWidth="1"/>
    <col min="4867" max="5107" width="11.42578125" style="259"/>
    <col min="5108" max="5108" width="25.42578125" style="259" customWidth="1"/>
    <col min="5109" max="5112" width="0" style="259" hidden="1" customWidth="1"/>
    <col min="5113" max="5114" width="11.42578125" style="259"/>
    <col min="5115" max="5115" width="0" style="259" hidden="1" customWidth="1"/>
    <col min="5116" max="5116" width="17.5703125" style="259" customWidth="1"/>
    <col min="5117" max="5117" width="11.42578125" style="259"/>
    <col min="5118" max="5118" width="26" style="259" bestFit="1" customWidth="1"/>
    <col min="5119" max="5121" width="11.42578125" style="259"/>
    <col min="5122" max="5122" width="30.42578125" style="259" customWidth="1"/>
    <col min="5123" max="5363" width="11.42578125" style="259"/>
    <col min="5364" max="5364" width="25.42578125" style="259" customWidth="1"/>
    <col min="5365" max="5368" width="0" style="259" hidden="1" customWidth="1"/>
    <col min="5369" max="5370" width="11.42578125" style="259"/>
    <col min="5371" max="5371" width="0" style="259" hidden="1" customWidth="1"/>
    <col min="5372" max="5372" width="17.5703125" style="259" customWidth="1"/>
    <col min="5373" max="5373" width="11.42578125" style="259"/>
    <col min="5374" max="5374" width="26" style="259" bestFit="1" customWidth="1"/>
    <col min="5375" max="5377" width="11.42578125" style="259"/>
    <col min="5378" max="5378" width="30.42578125" style="259" customWidth="1"/>
    <col min="5379" max="5619" width="11.42578125" style="259"/>
    <col min="5620" max="5620" width="25.42578125" style="259" customWidth="1"/>
    <col min="5621" max="5624" width="0" style="259" hidden="1" customWidth="1"/>
    <col min="5625" max="5626" width="11.42578125" style="259"/>
    <col min="5627" max="5627" width="0" style="259" hidden="1" customWidth="1"/>
    <col min="5628" max="5628" width="17.5703125" style="259" customWidth="1"/>
    <col min="5629" max="5629" width="11.42578125" style="259"/>
    <col min="5630" max="5630" width="26" style="259" bestFit="1" customWidth="1"/>
    <col min="5631" max="5633" width="11.42578125" style="259"/>
    <col min="5634" max="5634" width="30.42578125" style="259" customWidth="1"/>
    <col min="5635" max="5875" width="11.42578125" style="259"/>
    <col min="5876" max="5876" width="25.42578125" style="259" customWidth="1"/>
    <col min="5877" max="5880" width="0" style="259" hidden="1" customWidth="1"/>
    <col min="5881" max="5882" width="11.42578125" style="259"/>
    <col min="5883" max="5883" width="0" style="259" hidden="1" customWidth="1"/>
    <col min="5884" max="5884" width="17.5703125" style="259" customWidth="1"/>
    <col min="5885" max="5885" width="11.42578125" style="259"/>
    <col min="5886" max="5886" width="26" style="259" bestFit="1" customWidth="1"/>
    <col min="5887" max="5889" width="11.42578125" style="259"/>
    <col min="5890" max="5890" width="30.42578125" style="259" customWidth="1"/>
    <col min="5891" max="6131" width="11.42578125" style="259"/>
    <col min="6132" max="6132" width="25.42578125" style="259" customWidth="1"/>
    <col min="6133" max="6136" width="0" style="259" hidden="1" customWidth="1"/>
    <col min="6137" max="6138" width="11.42578125" style="259"/>
    <col min="6139" max="6139" width="0" style="259" hidden="1" customWidth="1"/>
    <col min="6140" max="6140" width="17.5703125" style="259" customWidth="1"/>
    <col min="6141" max="6141" width="11.42578125" style="259"/>
    <col min="6142" max="6142" width="26" style="259" bestFit="1" customWidth="1"/>
    <col min="6143" max="6145" width="11.42578125" style="259"/>
    <col min="6146" max="6146" width="30.42578125" style="259" customWidth="1"/>
    <col min="6147" max="6387" width="11.42578125" style="259"/>
    <col min="6388" max="6388" width="25.42578125" style="259" customWidth="1"/>
    <col min="6389" max="6392" width="0" style="259" hidden="1" customWidth="1"/>
    <col min="6393" max="6394" width="11.42578125" style="259"/>
    <col min="6395" max="6395" width="0" style="259" hidden="1" customWidth="1"/>
    <col min="6396" max="6396" width="17.5703125" style="259" customWidth="1"/>
    <col min="6397" max="6397" width="11.42578125" style="259"/>
    <col min="6398" max="6398" width="26" style="259" bestFit="1" customWidth="1"/>
    <col min="6399" max="6401" width="11.42578125" style="259"/>
    <col min="6402" max="6402" width="30.42578125" style="259" customWidth="1"/>
    <col min="6403" max="6643" width="11.42578125" style="259"/>
    <col min="6644" max="6644" width="25.42578125" style="259" customWidth="1"/>
    <col min="6645" max="6648" width="0" style="259" hidden="1" customWidth="1"/>
    <col min="6649" max="6650" width="11.42578125" style="259"/>
    <col min="6651" max="6651" width="0" style="259" hidden="1" customWidth="1"/>
    <col min="6652" max="6652" width="17.5703125" style="259" customWidth="1"/>
    <col min="6653" max="6653" width="11.42578125" style="259"/>
    <col min="6654" max="6654" width="26" style="259" bestFit="1" customWidth="1"/>
    <col min="6655" max="6657" width="11.42578125" style="259"/>
    <col min="6658" max="6658" width="30.42578125" style="259" customWidth="1"/>
    <col min="6659" max="6899" width="11.42578125" style="259"/>
    <col min="6900" max="6900" width="25.42578125" style="259" customWidth="1"/>
    <col min="6901" max="6904" width="0" style="259" hidden="1" customWidth="1"/>
    <col min="6905" max="6906" width="11.42578125" style="259"/>
    <col min="6907" max="6907" width="0" style="259" hidden="1" customWidth="1"/>
    <col min="6908" max="6908" width="17.5703125" style="259" customWidth="1"/>
    <col min="6909" max="6909" width="11.42578125" style="259"/>
    <col min="6910" max="6910" width="26" style="259" bestFit="1" customWidth="1"/>
    <col min="6911" max="6913" width="11.42578125" style="259"/>
    <col min="6914" max="6914" width="30.42578125" style="259" customWidth="1"/>
    <col min="6915" max="7155" width="11.42578125" style="259"/>
    <col min="7156" max="7156" width="25.42578125" style="259" customWidth="1"/>
    <col min="7157" max="7160" width="0" style="259" hidden="1" customWidth="1"/>
    <col min="7161" max="7162" width="11.42578125" style="259"/>
    <col min="7163" max="7163" width="0" style="259" hidden="1" customWidth="1"/>
    <col min="7164" max="7164" width="17.5703125" style="259" customWidth="1"/>
    <col min="7165" max="7165" width="11.42578125" style="259"/>
    <col min="7166" max="7166" width="26" style="259" bestFit="1" customWidth="1"/>
    <col min="7167" max="7169" width="11.42578125" style="259"/>
    <col min="7170" max="7170" width="30.42578125" style="259" customWidth="1"/>
    <col min="7171" max="7411" width="11.42578125" style="259"/>
    <col min="7412" max="7412" width="25.42578125" style="259" customWidth="1"/>
    <col min="7413" max="7416" width="0" style="259" hidden="1" customWidth="1"/>
    <col min="7417" max="7418" width="11.42578125" style="259"/>
    <col min="7419" max="7419" width="0" style="259" hidden="1" customWidth="1"/>
    <col min="7420" max="7420" width="17.5703125" style="259" customWidth="1"/>
    <col min="7421" max="7421" width="11.42578125" style="259"/>
    <col min="7422" max="7422" width="26" style="259" bestFit="1" customWidth="1"/>
    <col min="7423" max="7425" width="11.42578125" style="259"/>
    <col min="7426" max="7426" width="30.42578125" style="259" customWidth="1"/>
    <col min="7427" max="7667" width="11.42578125" style="259"/>
    <col min="7668" max="7668" width="25.42578125" style="259" customWidth="1"/>
    <col min="7669" max="7672" width="0" style="259" hidden="1" customWidth="1"/>
    <col min="7673" max="7674" width="11.42578125" style="259"/>
    <col min="7675" max="7675" width="0" style="259" hidden="1" customWidth="1"/>
    <col min="7676" max="7676" width="17.5703125" style="259" customWidth="1"/>
    <col min="7677" max="7677" width="11.42578125" style="259"/>
    <col min="7678" max="7678" width="26" style="259" bestFit="1" customWidth="1"/>
    <col min="7679" max="7681" width="11.42578125" style="259"/>
    <col min="7682" max="7682" width="30.42578125" style="259" customWidth="1"/>
    <col min="7683" max="7923" width="11.42578125" style="259"/>
    <col min="7924" max="7924" width="25.42578125" style="259" customWidth="1"/>
    <col min="7925" max="7928" width="0" style="259" hidden="1" customWidth="1"/>
    <col min="7929" max="7930" width="11.42578125" style="259"/>
    <col min="7931" max="7931" width="0" style="259" hidden="1" customWidth="1"/>
    <col min="7932" max="7932" width="17.5703125" style="259" customWidth="1"/>
    <col min="7933" max="7933" width="11.42578125" style="259"/>
    <col min="7934" max="7934" width="26" style="259" bestFit="1" customWidth="1"/>
    <col min="7935" max="7937" width="11.42578125" style="259"/>
    <col min="7938" max="7938" width="30.42578125" style="259" customWidth="1"/>
    <col min="7939" max="8179" width="11.42578125" style="259"/>
    <col min="8180" max="8180" width="25.42578125" style="259" customWidth="1"/>
    <col min="8181" max="8184" width="0" style="259" hidden="1" customWidth="1"/>
    <col min="8185" max="8186" width="11.42578125" style="259"/>
    <col min="8187" max="8187" width="0" style="259" hidden="1" customWidth="1"/>
    <col min="8188" max="8188" width="17.5703125" style="259" customWidth="1"/>
    <col min="8189" max="8189" width="11.42578125" style="259"/>
    <col min="8190" max="8190" width="26" style="259" bestFit="1" customWidth="1"/>
    <col min="8191" max="8193" width="11.42578125" style="259"/>
    <col min="8194" max="8194" width="30.42578125" style="259" customWidth="1"/>
    <col min="8195" max="8435" width="11.42578125" style="259"/>
    <col min="8436" max="8436" width="25.42578125" style="259" customWidth="1"/>
    <col min="8437" max="8440" width="0" style="259" hidden="1" customWidth="1"/>
    <col min="8441" max="8442" width="11.42578125" style="259"/>
    <col min="8443" max="8443" width="0" style="259" hidden="1" customWidth="1"/>
    <col min="8444" max="8444" width="17.5703125" style="259" customWidth="1"/>
    <col min="8445" max="8445" width="11.42578125" style="259"/>
    <col min="8446" max="8446" width="26" style="259" bestFit="1" customWidth="1"/>
    <col min="8447" max="8449" width="11.42578125" style="259"/>
    <col min="8450" max="8450" width="30.42578125" style="259" customWidth="1"/>
    <col min="8451" max="8691" width="11.42578125" style="259"/>
    <col min="8692" max="8692" width="25.42578125" style="259" customWidth="1"/>
    <col min="8693" max="8696" width="0" style="259" hidden="1" customWidth="1"/>
    <col min="8697" max="8698" width="11.42578125" style="259"/>
    <col min="8699" max="8699" width="0" style="259" hidden="1" customWidth="1"/>
    <col min="8700" max="8700" width="17.5703125" style="259" customWidth="1"/>
    <col min="8701" max="8701" width="11.42578125" style="259"/>
    <col min="8702" max="8702" width="26" style="259" bestFit="1" customWidth="1"/>
    <col min="8703" max="8705" width="11.42578125" style="259"/>
    <col min="8706" max="8706" width="30.42578125" style="259" customWidth="1"/>
    <col min="8707" max="8947" width="11.42578125" style="259"/>
    <col min="8948" max="8948" width="25.42578125" style="259" customWidth="1"/>
    <col min="8949" max="8952" width="0" style="259" hidden="1" customWidth="1"/>
    <col min="8953" max="8954" width="11.42578125" style="259"/>
    <col min="8955" max="8955" width="0" style="259" hidden="1" customWidth="1"/>
    <col min="8956" max="8956" width="17.5703125" style="259" customWidth="1"/>
    <col min="8957" max="8957" width="11.42578125" style="259"/>
    <col min="8958" max="8958" width="26" style="259" bestFit="1" customWidth="1"/>
    <col min="8959" max="8961" width="11.42578125" style="259"/>
    <col min="8962" max="8962" width="30.42578125" style="259" customWidth="1"/>
    <col min="8963" max="9203" width="11.42578125" style="259"/>
    <col min="9204" max="9204" width="25.42578125" style="259" customWidth="1"/>
    <col min="9205" max="9208" width="0" style="259" hidden="1" customWidth="1"/>
    <col min="9209" max="9210" width="11.42578125" style="259"/>
    <col min="9211" max="9211" width="0" style="259" hidden="1" customWidth="1"/>
    <col min="9212" max="9212" width="17.5703125" style="259" customWidth="1"/>
    <col min="9213" max="9213" width="11.42578125" style="259"/>
    <col min="9214" max="9214" width="26" style="259" bestFit="1" customWidth="1"/>
    <col min="9215" max="9217" width="11.42578125" style="259"/>
    <col min="9218" max="9218" width="30.42578125" style="259" customWidth="1"/>
    <col min="9219" max="9459" width="11.42578125" style="259"/>
    <col min="9460" max="9460" width="25.42578125" style="259" customWidth="1"/>
    <col min="9461" max="9464" width="0" style="259" hidden="1" customWidth="1"/>
    <col min="9465" max="9466" width="11.42578125" style="259"/>
    <col min="9467" max="9467" width="0" style="259" hidden="1" customWidth="1"/>
    <col min="9468" max="9468" width="17.5703125" style="259" customWidth="1"/>
    <col min="9469" max="9469" width="11.42578125" style="259"/>
    <col min="9470" max="9470" width="26" style="259" bestFit="1" customWidth="1"/>
    <col min="9471" max="9473" width="11.42578125" style="259"/>
    <col min="9474" max="9474" width="30.42578125" style="259" customWidth="1"/>
    <col min="9475" max="9715" width="11.42578125" style="259"/>
    <col min="9716" max="9716" width="25.42578125" style="259" customWidth="1"/>
    <col min="9717" max="9720" width="0" style="259" hidden="1" customWidth="1"/>
    <col min="9721" max="9722" width="11.42578125" style="259"/>
    <col min="9723" max="9723" width="0" style="259" hidden="1" customWidth="1"/>
    <col min="9724" max="9724" width="17.5703125" style="259" customWidth="1"/>
    <col min="9725" max="9725" width="11.42578125" style="259"/>
    <col min="9726" max="9726" width="26" style="259" bestFit="1" customWidth="1"/>
    <col min="9727" max="9729" width="11.42578125" style="259"/>
    <col min="9730" max="9730" width="30.42578125" style="259" customWidth="1"/>
    <col min="9731" max="9971" width="11.42578125" style="259"/>
    <col min="9972" max="9972" width="25.42578125" style="259" customWidth="1"/>
    <col min="9973" max="9976" width="0" style="259" hidden="1" customWidth="1"/>
    <col min="9977" max="9978" width="11.42578125" style="259"/>
    <col min="9979" max="9979" width="0" style="259" hidden="1" customWidth="1"/>
    <col min="9980" max="9980" width="17.5703125" style="259" customWidth="1"/>
    <col min="9981" max="9981" width="11.42578125" style="259"/>
    <col min="9982" max="9982" width="26" style="259" bestFit="1" customWidth="1"/>
    <col min="9983" max="9985" width="11.42578125" style="259"/>
    <col min="9986" max="9986" width="30.42578125" style="259" customWidth="1"/>
    <col min="9987" max="10227" width="11.42578125" style="259"/>
    <col min="10228" max="10228" width="25.42578125" style="259" customWidth="1"/>
    <col min="10229" max="10232" width="0" style="259" hidden="1" customWidth="1"/>
    <col min="10233" max="10234" width="11.42578125" style="259"/>
    <col min="10235" max="10235" width="0" style="259" hidden="1" customWidth="1"/>
    <col min="10236" max="10236" width="17.5703125" style="259" customWidth="1"/>
    <col min="10237" max="10237" width="11.42578125" style="259"/>
    <col min="10238" max="10238" width="26" style="259" bestFit="1" customWidth="1"/>
    <col min="10239" max="10241" width="11.42578125" style="259"/>
    <col min="10242" max="10242" width="30.42578125" style="259" customWidth="1"/>
    <col min="10243" max="10483" width="11.42578125" style="259"/>
    <col min="10484" max="10484" width="25.42578125" style="259" customWidth="1"/>
    <col min="10485" max="10488" width="0" style="259" hidden="1" customWidth="1"/>
    <col min="10489" max="10490" width="11.42578125" style="259"/>
    <col min="10491" max="10491" width="0" style="259" hidden="1" customWidth="1"/>
    <col min="10492" max="10492" width="17.5703125" style="259" customWidth="1"/>
    <col min="10493" max="10493" width="11.42578125" style="259"/>
    <col min="10494" max="10494" width="26" style="259" bestFit="1" customWidth="1"/>
    <col min="10495" max="10497" width="11.42578125" style="259"/>
    <col min="10498" max="10498" width="30.42578125" style="259" customWidth="1"/>
    <col min="10499" max="10739" width="11.42578125" style="259"/>
    <col min="10740" max="10740" width="25.42578125" style="259" customWidth="1"/>
    <col min="10741" max="10744" width="0" style="259" hidden="1" customWidth="1"/>
    <col min="10745" max="10746" width="11.42578125" style="259"/>
    <col min="10747" max="10747" width="0" style="259" hidden="1" customWidth="1"/>
    <col min="10748" max="10748" width="17.5703125" style="259" customWidth="1"/>
    <col min="10749" max="10749" width="11.42578125" style="259"/>
    <col min="10750" max="10750" width="26" style="259" bestFit="1" customWidth="1"/>
    <col min="10751" max="10753" width="11.42578125" style="259"/>
    <col min="10754" max="10754" width="30.42578125" style="259" customWidth="1"/>
    <col min="10755" max="10995" width="11.42578125" style="259"/>
    <col min="10996" max="10996" width="25.42578125" style="259" customWidth="1"/>
    <col min="10997" max="11000" width="0" style="259" hidden="1" customWidth="1"/>
    <col min="11001" max="11002" width="11.42578125" style="259"/>
    <col min="11003" max="11003" width="0" style="259" hidden="1" customWidth="1"/>
    <col min="11004" max="11004" width="17.5703125" style="259" customWidth="1"/>
    <col min="11005" max="11005" width="11.42578125" style="259"/>
    <col min="11006" max="11006" width="26" style="259" bestFit="1" customWidth="1"/>
    <col min="11007" max="11009" width="11.42578125" style="259"/>
    <col min="11010" max="11010" width="30.42578125" style="259" customWidth="1"/>
    <col min="11011" max="11251" width="11.42578125" style="259"/>
    <col min="11252" max="11252" width="25.42578125" style="259" customWidth="1"/>
    <col min="11253" max="11256" width="0" style="259" hidden="1" customWidth="1"/>
    <col min="11257" max="11258" width="11.42578125" style="259"/>
    <col min="11259" max="11259" width="0" style="259" hidden="1" customWidth="1"/>
    <col min="11260" max="11260" width="17.5703125" style="259" customWidth="1"/>
    <col min="11261" max="11261" width="11.42578125" style="259"/>
    <col min="11262" max="11262" width="26" style="259" bestFit="1" customWidth="1"/>
    <col min="11263" max="11265" width="11.42578125" style="259"/>
    <col min="11266" max="11266" width="30.42578125" style="259" customWidth="1"/>
    <col min="11267" max="11507" width="11.42578125" style="259"/>
    <col min="11508" max="11508" width="25.42578125" style="259" customWidth="1"/>
    <col min="11509" max="11512" width="0" style="259" hidden="1" customWidth="1"/>
    <col min="11513" max="11514" width="11.42578125" style="259"/>
    <col min="11515" max="11515" width="0" style="259" hidden="1" customWidth="1"/>
    <col min="11516" max="11516" width="17.5703125" style="259" customWidth="1"/>
    <col min="11517" max="11517" width="11.42578125" style="259"/>
    <col min="11518" max="11518" width="26" style="259" bestFit="1" customWidth="1"/>
    <col min="11519" max="11521" width="11.42578125" style="259"/>
    <col min="11522" max="11522" width="30.42578125" style="259" customWidth="1"/>
    <col min="11523" max="11763" width="11.42578125" style="259"/>
    <col min="11764" max="11764" width="25.42578125" style="259" customWidth="1"/>
    <col min="11765" max="11768" width="0" style="259" hidden="1" customWidth="1"/>
    <col min="11769" max="11770" width="11.42578125" style="259"/>
    <col min="11771" max="11771" width="0" style="259" hidden="1" customWidth="1"/>
    <col min="11772" max="11772" width="17.5703125" style="259" customWidth="1"/>
    <col min="11773" max="11773" width="11.42578125" style="259"/>
    <col min="11774" max="11774" width="26" style="259" bestFit="1" customWidth="1"/>
    <col min="11775" max="11777" width="11.42578125" style="259"/>
    <col min="11778" max="11778" width="30.42578125" style="259" customWidth="1"/>
    <col min="11779" max="12019" width="11.42578125" style="259"/>
    <col min="12020" max="12020" width="25.42578125" style="259" customWidth="1"/>
    <col min="12021" max="12024" width="0" style="259" hidden="1" customWidth="1"/>
    <col min="12025" max="12026" width="11.42578125" style="259"/>
    <col min="12027" max="12027" width="0" style="259" hidden="1" customWidth="1"/>
    <col min="12028" max="12028" width="17.5703125" style="259" customWidth="1"/>
    <col min="12029" max="12029" width="11.42578125" style="259"/>
    <col min="12030" max="12030" width="26" style="259" bestFit="1" customWidth="1"/>
    <col min="12031" max="12033" width="11.42578125" style="259"/>
    <col min="12034" max="12034" width="30.42578125" style="259" customWidth="1"/>
    <col min="12035" max="12275" width="11.42578125" style="259"/>
    <col min="12276" max="12276" width="25.42578125" style="259" customWidth="1"/>
    <col min="12277" max="12280" width="0" style="259" hidden="1" customWidth="1"/>
    <col min="12281" max="12282" width="11.42578125" style="259"/>
    <col min="12283" max="12283" width="0" style="259" hidden="1" customWidth="1"/>
    <col min="12284" max="12284" width="17.5703125" style="259" customWidth="1"/>
    <col min="12285" max="12285" width="11.42578125" style="259"/>
    <col min="12286" max="12286" width="26" style="259" bestFit="1" customWidth="1"/>
    <col min="12287" max="12289" width="11.42578125" style="259"/>
    <col min="12290" max="12290" width="30.42578125" style="259" customWidth="1"/>
    <col min="12291" max="12531" width="11.42578125" style="259"/>
    <col min="12532" max="12532" width="25.42578125" style="259" customWidth="1"/>
    <col min="12533" max="12536" width="0" style="259" hidden="1" customWidth="1"/>
    <col min="12537" max="12538" width="11.42578125" style="259"/>
    <col min="12539" max="12539" width="0" style="259" hidden="1" customWidth="1"/>
    <col min="12540" max="12540" width="17.5703125" style="259" customWidth="1"/>
    <col min="12541" max="12541" width="11.42578125" style="259"/>
    <col min="12542" max="12542" width="26" style="259" bestFit="1" customWidth="1"/>
    <col min="12543" max="12545" width="11.42578125" style="259"/>
    <col min="12546" max="12546" width="30.42578125" style="259" customWidth="1"/>
    <col min="12547" max="12787" width="11.42578125" style="259"/>
    <col min="12788" max="12788" width="25.42578125" style="259" customWidth="1"/>
    <col min="12789" max="12792" width="0" style="259" hidden="1" customWidth="1"/>
    <col min="12793" max="12794" width="11.42578125" style="259"/>
    <col min="12795" max="12795" width="0" style="259" hidden="1" customWidth="1"/>
    <col min="12796" max="12796" width="17.5703125" style="259" customWidth="1"/>
    <col min="12797" max="12797" width="11.42578125" style="259"/>
    <col min="12798" max="12798" width="26" style="259" bestFit="1" customWidth="1"/>
    <col min="12799" max="12801" width="11.42578125" style="259"/>
    <col min="12802" max="12802" width="30.42578125" style="259" customWidth="1"/>
    <col min="12803" max="13043" width="11.42578125" style="259"/>
    <col min="13044" max="13044" width="25.42578125" style="259" customWidth="1"/>
    <col min="13045" max="13048" width="0" style="259" hidden="1" customWidth="1"/>
    <col min="13049" max="13050" width="11.42578125" style="259"/>
    <col min="13051" max="13051" width="0" style="259" hidden="1" customWidth="1"/>
    <col min="13052" max="13052" width="17.5703125" style="259" customWidth="1"/>
    <col min="13053" max="13053" width="11.42578125" style="259"/>
    <col min="13054" max="13054" width="26" style="259" bestFit="1" customWidth="1"/>
    <col min="13055" max="13057" width="11.42578125" style="259"/>
    <col min="13058" max="13058" width="30.42578125" style="259" customWidth="1"/>
    <col min="13059" max="13299" width="11.42578125" style="259"/>
    <col min="13300" max="13300" width="25.42578125" style="259" customWidth="1"/>
    <col min="13301" max="13304" width="0" style="259" hidden="1" customWidth="1"/>
    <col min="13305" max="13306" width="11.42578125" style="259"/>
    <col min="13307" max="13307" width="0" style="259" hidden="1" customWidth="1"/>
    <col min="13308" max="13308" width="17.5703125" style="259" customWidth="1"/>
    <col min="13309" max="13309" width="11.42578125" style="259"/>
    <col min="13310" max="13310" width="26" style="259" bestFit="1" customWidth="1"/>
    <col min="13311" max="13313" width="11.42578125" style="259"/>
    <col min="13314" max="13314" width="30.42578125" style="259" customWidth="1"/>
    <col min="13315" max="13555" width="11.42578125" style="259"/>
    <col min="13556" max="13556" width="25.42578125" style="259" customWidth="1"/>
    <col min="13557" max="13560" width="0" style="259" hidden="1" customWidth="1"/>
    <col min="13561" max="13562" width="11.42578125" style="259"/>
    <col min="13563" max="13563" width="0" style="259" hidden="1" customWidth="1"/>
    <col min="13564" max="13564" width="17.5703125" style="259" customWidth="1"/>
    <col min="13565" max="13565" width="11.42578125" style="259"/>
    <col min="13566" max="13566" width="26" style="259" bestFit="1" customWidth="1"/>
    <col min="13567" max="13569" width="11.42578125" style="259"/>
    <col min="13570" max="13570" width="30.42578125" style="259" customWidth="1"/>
    <col min="13571" max="13811" width="11.42578125" style="259"/>
    <col min="13812" max="13812" width="25.42578125" style="259" customWidth="1"/>
    <col min="13813" max="13816" width="0" style="259" hidden="1" customWidth="1"/>
    <col min="13817" max="13818" width="11.42578125" style="259"/>
    <col min="13819" max="13819" width="0" style="259" hidden="1" customWidth="1"/>
    <col min="13820" max="13820" width="17.5703125" style="259" customWidth="1"/>
    <col min="13821" max="13821" width="11.42578125" style="259"/>
    <col min="13822" max="13822" width="26" style="259" bestFit="1" customWidth="1"/>
    <col min="13823" max="13825" width="11.42578125" style="259"/>
    <col min="13826" max="13826" width="30.42578125" style="259" customWidth="1"/>
    <col min="13827" max="14067" width="11.42578125" style="259"/>
    <col min="14068" max="14068" width="25.42578125" style="259" customWidth="1"/>
    <col min="14069" max="14072" width="0" style="259" hidden="1" customWidth="1"/>
    <col min="14073" max="14074" width="11.42578125" style="259"/>
    <col min="14075" max="14075" width="0" style="259" hidden="1" customWidth="1"/>
    <col min="14076" max="14076" width="17.5703125" style="259" customWidth="1"/>
    <col min="14077" max="14077" width="11.42578125" style="259"/>
    <col min="14078" max="14078" width="26" style="259" bestFit="1" customWidth="1"/>
    <col min="14079" max="14081" width="11.42578125" style="259"/>
    <col min="14082" max="14082" width="30.42578125" style="259" customWidth="1"/>
    <col min="14083" max="14323" width="11.42578125" style="259"/>
    <col min="14324" max="14324" width="25.42578125" style="259" customWidth="1"/>
    <col min="14325" max="14328" width="0" style="259" hidden="1" customWidth="1"/>
    <col min="14329" max="14330" width="11.42578125" style="259"/>
    <col min="14331" max="14331" width="0" style="259" hidden="1" customWidth="1"/>
    <col min="14332" max="14332" width="17.5703125" style="259" customWidth="1"/>
    <col min="14333" max="14333" width="11.42578125" style="259"/>
    <col min="14334" max="14334" width="26" style="259" bestFit="1" customWidth="1"/>
    <col min="14335" max="14337" width="11.42578125" style="259"/>
    <col min="14338" max="14338" width="30.42578125" style="259" customWidth="1"/>
    <col min="14339" max="14579" width="11.42578125" style="259"/>
    <col min="14580" max="14580" width="25.42578125" style="259" customWidth="1"/>
    <col min="14581" max="14584" width="0" style="259" hidden="1" customWidth="1"/>
    <col min="14585" max="14586" width="11.42578125" style="259"/>
    <col min="14587" max="14587" width="0" style="259" hidden="1" customWidth="1"/>
    <col min="14588" max="14588" width="17.5703125" style="259" customWidth="1"/>
    <col min="14589" max="14589" width="11.42578125" style="259"/>
    <col min="14590" max="14590" width="26" style="259" bestFit="1" customWidth="1"/>
    <col min="14591" max="14593" width="11.42578125" style="259"/>
    <col min="14594" max="14594" width="30.42578125" style="259" customWidth="1"/>
    <col min="14595" max="14835" width="11.42578125" style="259"/>
    <col min="14836" max="14836" width="25.42578125" style="259" customWidth="1"/>
    <col min="14837" max="14840" width="0" style="259" hidden="1" customWidth="1"/>
    <col min="14841" max="14842" width="11.42578125" style="259"/>
    <col min="14843" max="14843" width="0" style="259" hidden="1" customWidth="1"/>
    <col min="14844" max="14844" width="17.5703125" style="259" customWidth="1"/>
    <col min="14845" max="14845" width="11.42578125" style="259"/>
    <col min="14846" max="14846" width="26" style="259" bestFit="1" customWidth="1"/>
    <col min="14847" max="14849" width="11.42578125" style="259"/>
    <col min="14850" max="14850" width="30.42578125" style="259" customWidth="1"/>
    <col min="14851" max="15091" width="11.42578125" style="259"/>
    <col min="15092" max="15092" width="25.42578125" style="259" customWidth="1"/>
    <col min="15093" max="15096" width="0" style="259" hidden="1" customWidth="1"/>
    <col min="15097" max="15098" width="11.42578125" style="259"/>
    <col min="15099" max="15099" width="0" style="259" hidden="1" customWidth="1"/>
    <col min="15100" max="15100" width="17.5703125" style="259" customWidth="1"/>
    <col min="15101" max="15101" width="11.42578125" style="259"/>
    <col min="15102" max="15102" width="26" style="259" bestFit="1" customWidth="1"/>
    <col min="15103" max="15105" width="11.42578125" style="259"/>
    <col min="15106" max="15106" width="30.42578125" style="259" customWidth="1"/>
    <col min="15107" max="15347" width="11.42578125" style="259"/>
    <col min="15348" max="15348" width="25.42578125" style="259" customWidth="1"/>
    <col min="15349" max="15352" width="0" style="259" hidden="1" customWidth="1"/>
    <col min="15353" max="15354" width="11.42578125" style="259"/>
    <col min="15355" max="15355" width="0" style="259" hidden="1" customWidth="1"/>
    <col min="15356" max="15356" width="17.5703125" style="259" customWidth="1"/>
    <col min="15357" max="15357" width="11.42578125" style="259"/>
    <col min="15358" max="15358" width="26" style="259" bestFit="1" customWidth="1"/>
    <col min="15359" max="15361" width="11.42578125" style="259"/>
    <col min="15362" max="15362" width="30.42578125" style="259" customWidth="1"/>
    <col min="15363" max="15603" width="11.42578125" style="259"/>
    <col min="15604" max="15604" width="25.42578125" style="259" customWidth="1"/>
    <col min="15605" max="15608" width="0" style="259" hidden="1" customWidth="1"/>
    <col min="15609" max="15610" width="11.42578125" style="259"/>
    <col min="15611" max="15611" width="0" style="259" hidden="1" customWidth="1"/>
    <col min="15612" max="15612" width="17.5703125" style="259" customWidth="1"/>
    <col min="15613" max="15613" width="11.42578125" style="259"/>
    <col min="15614" max="15614" width="26" style="259" bestFit="1" customWidth="1"/>
    <col min="15615" max="15617" width="11.42578125" style="259"/>
    <col min="15618" max="15618" width="30.42578125" style="259" customWidth="1"/>
    <col min="15619" max="15859" width="11.42578125" style="259"/>
    <col min="15860" max="15860" width="25.42578125" style="259" customWidth="1"/>
    <col min="15861" max="15864" width="0" style="259" hidden="1" customWidth="1"/>
    <col min="15865" max="15866" width="11.42578125" style="259"/>
    <col min="15867" max="15867" width="0" style="259" hidden="1" customWidth="1"/>
    <col min="15868" max="15868" width="17.5703125" style="259" customWidth="1"/>
    <col min="15869" max="15869" width="11.42578125" style="259"/>
    <col min="15870" max="15870" width="26" style="259" bestFit="1" customWidth="1"/>
    <col min="15871" max="15873" width="11.42578125" style="259"/>
    <col min="15874" max="15874" width="30.42578125" style="259" customWidth="1"/>
    <col min="15875" max="16115" width="11.42578125" style="259"/>
    <col min="16116" max="16116" width="25.42578125" style="259" customWidth="1"/>
    <col min="16117" max="16120" width="0" style="259" hidden="1" customWidth="1"/>
    <col min="16121" max="16122" width="11.42578125" style="259"/>
    <col min="16123" max="16123" width="0" style="259" hidden="1" customWidth="1"/>
    <col min="16124" max="16124" width="17.5703125" style="259" customWidth="1"/>
    <col min="16125" max="16125" width="11.42578125" style="259"/>
    <col min="16126" max="16126" width="26" style="259" bestFit="1" customWidth="1"/>
    <col min="16127" max="16129" width="11.42578125" style="259"/>
    <col min="16130" max="16130" width="30.42578125" style="259" customWidth="1"/>
    <col min="16131" max="16384" width="11.42578125" style="259"/>
  </cols>
  <sheetData>
    <row r="3" spans="2:3" ht="13.5" thickBot="1" x14ac:dyDescent="0.25"/>
    <row r="4" spans="2:3" ht="13.5" thickBot="1" x14ac:dyDescent="0.25">
      <c r="B4" s="561"/>
      <c r="C4" s="562">
        <v>2022</v>
      </c>
    </row>
    <row r="5" spans="2:3" x14ac:dyDescent="0.2">
      <c r="B5" s="559" t="s">
        <v>87</v>
      </c>
      <c r="C5" s="560">
        <f>BEaH22!G11</f>
        <v>6175</v>
      </c>
    </row>
    <row r="6" spans="2:3" x14ac:dyDescent="0.2">
      <c r="B6" s="261" t="s">
        <v>88</v>
      </c>
      <c r="C6" s="557">
        <f>BEaH22!G25</f>
        <v>8860</v>
      </c>
    </row>
    <row r="7" spans="2:3" x14ac:dyDescent="0.2">
      <c r="B7" s="261" t="s">
        <v>19</v>
      </c>
      <c r="C7" s="557">
        <f>BEaH22!G33</f>
        <v>40121</v>
      </c>
    </row>
    <row r="8" spans="2:3" x14ac:dyDescent="0.2">
      <c r="B8" s="261" t="s">
        <v>89</v>
      </c>
      <c r="C8" s="557">
        <f>BEaH22!G34</f>
        <v>32541</v>
      </c>
    </row>
    <row r="9" spans="2:3" x14ac:dyDescent="0.2">
      <c r="B9" s="263" t="s">
        <v>17</v>
      </c>
      <c r="C9" s="558">
        <f>BEaH22!G31</f>
        <v>30220</v>
      </c>
    </row>
    <row r="10" spans="2:3" x14ac:dyDescent="0.2">
      <c r="B10" s="264" t="s">
        <v>16</v>
      </c>
      <c r="C10" s="558">
        <f>BEaH22!G29</f>
        <v>5642</v>
      </c>
    </row>
    <row r="11" spans="2:3" x14ac:dyDescent="0.2">
      <c r="B11" s="261" t="s">
        <v>15</v>
      </c>
      <c r="C11" s="557">
        <f>BEaH22!G28</f>
        <v>13719</v>
      </c>
    </row>
    <row r="12" spans="2:3" x14ac:dyDescent="0.2">
      <c r="B12" s="261" t="s">
        <v>90</v>
      </c>
      <c r="C12" s="557">
        <f>BEaH22!G37-BEaH22!G28-BEaH22!G29-BEaH22!G31-BEaH22!G33-BEaH22!G34</f>
        <v>467866</v>
      </c>
    </row>
    <row r="13" spans="2:3" ht="13.5" thickBot="1" x14ac:dyDescent="0.25">
      <c r="B13" s="263" t="s">
        <v>91</v>
      </c>
      <c r="C13" s="558">
        <f>BEaH22!G42</f>
        <v>371397</v>
      </c>
    </row>
    <row r="14" spans="2:3" ht="13.5" thickBot="1" x14ac:dyDescent="0.25">
      <c r="B14" s="464"/>
      <c r="C14" s="563">
        <f>SUM(C5:C13)</f>
        <v>976541</v>
      </c>
    </row>
  </sheetData>
  <pageMargins left="0.78740157499999996" right="0.78740157499999996" top="0.984251969" bottom="0.984251969" header="0.4921259845" footer="0.4921259845"/>
  <pageSetup paperSize="9" scale="6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0"/>
  <dimension ref="A1:G105"/>
  <sheetViews>
    <sheetView topLeftCell="A2" zoomScale="72" zoomScaleNormal="100" workbookViewId="0">
      <selection activeCell="K31" sqref="K31"/>
    </sheetView>
  </sheetViews>
  <sheetFormatPr baseColWidth="10" defaultRowHeight="12.75" x14ac:dyDescent="0.2"/>
  <cols>
    <col min="1" max="1" width="11.42578125" style="259" customWidth="1"/>
    <col min="2" max="2" width="24.5703125" style="259" customWidth="1"/>
    <col min="3" max="247" width="11.42578125" style="259"/>
    <col min="248" max="248" width="15.42578125" style="259" customWidth="1"/>
    <col min="249" max="251" width="0" style="259" hidden="1" customWidth="1"/>
    <col min="252" max="252" width="24.5703125" style="259" customWidth="1"/>
    <col min="253" max="257" width="0" style="259" hidden="1" customWidth="1"/>
    <col min="258" max="503" width="11.42578125" style="259"/>
    <col min="504" max="504" width="15.42578125" style="259" customWidth="1"/>
    <col min="505" max="507" width="0" style="259" hidden="1" customWidth="1"/>
    <col min="508" max="508" width="24.5703125" style="259" customWidth="1"/>
    <col min="509" max="513" width="0" style="259" hidden="1" customWidth="1"/>
    <col min="514" max="759" width="11.42578125" style="259"/>
    <col min="760" max="760" width="15.42578125" style="259" customWidth="1"/>
    <col min="761" max="763" width="0" style="259" hidden="1" customWidth="1"/>
    <col min="764" max="764" width="24.5703125" style="259" customWidth="1"/>
    <col min="765" max="769" width="0" style="259" hidden="1" customWidth="1"/>
    <col min="770" max="1015" width="11.42578125" style="259"/>
    <col min="1016" max="1016" width="15.42578125" style="259" customWidth="1"/>
    <col min="1017" max="1019" width="0" style="259" hidden="1" customWidth="1"/>
    <col min="1020" max="1020" width="24.5703125" style="259" customWidth="1"/>
    <col min="1021" max="1025" width="0" style="259" hidden="1" customWidth="1"/>
    <col min="1026" max="1271" width="11.42578125" style="259"/>
    <col min="1272" max="1272" width="15.42578125" style="259" customWidth="1"/>
    <col min="1273" max="1275" width="0" style="259" hidden="1" customWidth="1"/>
    <col min="1276" max="1276" width="24.5703125" style="259" customWidth="1"/>
    <col min="1277" max="1281" width="0" style="259" hidden="1" customWidth="1"/>
    <col min="1282" max="1527" width="11.42578125" style="259"/>
    <col min="1528" max="1528" width="15.42578125" style="259" customWidth="1"/>
    <col min="1529" max="1531" width="0" style="259" hidden="1" customWidth="1"/>
    <col min="1532" max="1532" width="24.5703125" style="259" customWidth="1"/>
    <col min="1533" max="1537" width="0" style="259" hidden="1" customWidth="1"/>
    <col min="1538" max="1783" width="11.42578125" style="259"/>
    <col min="1784" max="1784" width="15.42578125" style="259" customWidth="1"/>
    <col min="1785" max="1787" width="0" style="259" hidden="1" customWidth="1"/>
    <col min="1788" max="1788" width="24.5703125" style="259" customWidth="1"/>
    <col min="1789" max="1793" width="0" style="259" hidden="1" customWidth="1"/>
    <col min="1794" max="2039" width="11.42578125" style="259"/>
    <col min="2040" max="2040" width="15.42578125" style="259" customWidth="1"/>
    <col min="2041" max="2043" width="0" style="259" hidden="1" customWidth="1"/>
    <col min="2044" max="2044" width="24.5703125" style="259" customWidth="1"/>
    <col min="2045" max="2049" width="0" style="259" hidden="1" customWidth="1"/>
    <col min="2050" max="2295" width="11.42578125" style="259"/>
    <col min="2296" max="2296" width="15.42578125" style="259" customWidth="1"/>
    <col min="2297" max="2299" width="0" style="259" hidden="1" customWidth="1"/>
    <col min="2300" max="2300" width="24.5703125" style="259" customWidth="1"/>
    <col min="2301" max="2305" width="0" style="259" hidden="1" customWidth="1"/>
    <col min="2306" max="2551" width="11.42578125" style="259"/>
    <col min="2552" max="2552" width="15.42578125" style="259" customWidth="1"/>
    <col min="2553" max="2555" width="0" style="259" hidden="1" customWidth="1"/>
    <col min="2556" max="2556" width="24.5703125" style="259" customWidth="1"/>
    <col min="2557" max="2561" width="0" style="259" hidden="1" customWidth="1"/>
    <col min="2562" max="2807" width="11.42578125" style="259"/>
    <col min="2808" max="2808" width="15.42578125" style="259" customWidth="1"/>
    <col min="2809" max="2811" width="0" style="259" hidden="1" customWidth="1"/>
    <col min="2812" max="2812" width="24.5703125" style="259" customWidth="1"/>
    <col min="2813" max="2817" width="0" style="259" hidden="1" customWidth="1"/>
    <col min="2818" max="3063" width="11.42578125" style="259"/>
    <col min="3064" max="3064" width="15.42578125" style="259" customWidth="1"/>
    <col min="3065" max="3067" width="0" style="259" hidden="1" customWidth="1"/>
    <col min="3068" max="3068" width="24.5703125" style="259" customWidth="1"/>
    <col min="3069" max="3073" width="0" style="259" hidden="1" customWidth="1"/>
    <col min="3074" max="3319" width="11.42578125" style="259"/>
    <col min="3320" max="3320" width="15.42578125" style="259" customWidth="1"/>
    <col min="3321" max="3323" width="0" style="259" hidden="1" customWidth="1"/>
    <col min="3324" max="3324" width="24.5703125" style="259" customWidth="1"/>
    <col min="3325" max="3329" width="0" style="259" hidden="1" customWidth="1"/>
    <col min="3330" max="3575" width="11.42578125" style="259"/>
    <col min="3576" max="3576" width="15.42578125" style="259" customWidth="1"/>
    <col min="3577" max="3579" width="0" style="259" hidden="1" customWidth="1"/>
    <col min="3580" max="3580" width="24.5703125" style="259" customWidth="1"/>
    <col min="3581" max="3585" width="0" style="259" hidden="1" customWidth="1"/>
    <col min="3586" max="3831" width="11.42578125" style="259"/>
    <col min="3832" max="3832" width="15.42578125" style="259" customWidth="1"/>
    <col min="3833" max="3835" width="0" style="259" hidden="1" customWidth="1"/>
    <col min="3836" max="3836" width="24.5703125" style="259" customWidth="1"/>
    <col min="3837" max="3841" width="0" style="259" hidden="1" customWidth="1"/>
    <col min="3842" max="4087" width="11.42578125" style="259"/>
    <col min="4088" max="4088" width="15.42578125" style="259" customWidth="1"/>
    <col min="4089" max="4091" width="0" style="259" hidden="1" customWidth="1"/>
    <col min="4092" max="4092" width="24.5703125" style="259" customWidth="1"/>
    <col min="4093" max="4097" width="0" style="259" hidden="1" customWidth="1"/>
    <col min="4098" max="4343" width="11.42578125" style="259"/>
    <col min="4344" max="4344" width="15.42578125" style="259" customWidth="1"/>
    <col min="4345" max="4347" width="0" style="259" hidden="1" customWidth="1"/>
    <col min="4348" max="4348" width="24.5703125" style="259" customWidth="1"/>
    <col min="4349" max="4353" width="0" style="259" hidden="1" customWidth="1"/>
    <col min="4354" max="4599" width="11.42578125" style="259"/>
    <col min="4600" max="4600" width="15.42578125" style="259" customWidth="1"/>
    <col min="4601" max="4603" width="0" style="259" hidden="1" customWidth="1"/>
    <col min="4604" max="4604" width="24.5703125" style="259" customWidth="1"/>
    <col min="4605" max="4609" width="0" style="259" hidden="1" customWidth="1"/>
    <col min="4610" max="4855" width="11.42578125" style="259"/>
    <col min="4856" max="4856" width="15.42578125" style="259" customWidth="1"/>
    <col min="4857" max="4859" width="0" style="259" hidden="1" customWidth="1"/>
    <col min="4860" max="4860" width="24.5703125" style="259" customWidth="1"/>
    <col min="4861" max="4865" width="0" style="259" hidden="1" customWidth="1"/>
    <col min="4866" max="5111" width="11.42578125" style="259"/>
    <col min="5112" max="5112" width="15.42578125" style="259" customWidth="1"/>
    <col min="5113" max="5115" width="0" style="259" hidden="1" customWidth="1"/>
    <col min="5116" max="5116" width="24.5703125" style="259" customWidth="1"/>
    <col min="5117" max="5121" width="0" style="259" hidden="1" customWidth="1"/>
    <col min="5122" max="5367" width="11.42578125" style="259"/>
    <col min="5368" max="5368" width="15.42578125" style="259" customWidth="1"/>
    <col min="5369" max="5371" width="0" style="259" hidden="1" customWidth="1"/>
    <col min="5372" max="5372" width="24.5703125" style="259" customWidth="1"/>
    <col min="5373" max="5377" width="0" style="259" hidden="1" customWidth="1"/>
    <col min="5378" max="5623" width="11.42578125" style="259"/>
    <col min="5624" max="5624" width="15.42578125" style="259" customWidth="1"/>
    <col min="5625" max="5627" width="0" style="259" hidden="1" customWidth="1"/>
    <col min="5628" max="5628" width="24.5703125" style="259" customWidth="1"/>
    <col min="5629" max="5633" width="0" style="259" hidden="1" customWidth="1"/>
    <col min="5634" max="5879" width="11.42578125" style="259"/>
    <col min="5880" max="5880" width="15.42578125" style="259" customWidth="1"/>
    <col min="5881" max="5883" width="0" style="259" hidden="1" customWidth="1"/>
    <col min="5884" max="5884" width="24.5703125" style="259" customWidth="1"/>
    <col min="5885" max="5889" width="0" style="259" hidden="1" customWidth="1"/>
    <col min="5890" max="6135" width="11.42578125" style="259"/>
    <col min="6136" max="6136" width="15.42578125" style="259" customWidth="1"/>
    <col min="6137" max="6139" width="0" style="259" hidden="1" customWidth="1"/>
    <col min="6140" max="6140" width="24.5703125" style="259" customWidth="1"/>
    <col min="6141" max="6145" width="0" style="259" hidden="1" customWidth="1"/>
    <col min="6146" max="6391" width="11.42578125" style="259"/>
    <col min="6392" max="6392" width="15.42578125" style="259" customWidth="1"/>
    <col min="6393" max="6395" width="0" style="259" hidden="1" customWidth="1"/>
    <col min="6396" max="6396" width="24.5703125" style="259" customWidth="1"/>
    <col min="6397" max="6401" width="0" style="259" hidden="1" customWidth="1"/>
    <col min="6402" max="6647" width="11.42578125" style="259"/>
    <col min="6648" max="6648" width="15.42578125" style="259" customWidth="1"/>
    <col min="6649" max="6651" width="0" style="259" hidden="1" customWidth="1"/>
    <col min="6652" max="6652" width="24.5703125" style="259" customWidth="1"/>
    <col min="6653" max="6657" width="0" style="259" hidden="1" customWidth="1"/>
    <col min="6658" max="6903" width="11.42578125" style="259"/>
    <col min="6904" max="6904" width="15.42578125" style="259" customWidth="1"/>
    <col min="6905" max="6907" width="0" style="259" hidden="1" customWidth="1"/>
    <col min="6908" max="6908" width="24.5703125" style="259" customWidth="1"/>
    <col min="6909" max="6913" width="0" style="259" hidden="1" customWidth="1"/>
    <col min="6914" max="7159" width="11.42578125" style="259"/>
    <col min="7160" max="7160" width="15.42578125" style="259" customWidth="1"/>
    <col min="7161" max="7163" width="0" style="259" hidden="1" customWidth="1"/>
    <col min="7164" max="7164" width="24.5703125" style="259" customWidth="1"/>
    <col min="7165" max="7169" width="0" style="259" hidden="1" customWidth="1"/>
    <col min="7170" max="7415" width="11.42578125" style="259"/>
    <col min="7416" max="7416" width="15.42578125" style="259" customWidth="1"/>
    <col min="7417" max="7419" width="0" style="259" hidden="1" customWidth="1"/>
    <col min="7420" max="7420" width="24.5703125" style="259" customWidth="1"/>
    <col min="7421" max="7425" width="0" style="259" hidden="1" customWidth="1"/>
    <col min="7426" max="7671" width="11.42578125" style="259"/>
    <col min="7672" max="7672" width="15.42578125" style="259" customWidth="1"/>
    <col min="7673" max="7675" width="0" style="259" hidden="1" customWidth="1"/>
    <col min="7676" max="7676" width="24.5703125" style="259" customWidth="1"/>
    <col min="7677" max="7681" width="0" style="259" hidden="1" customWidth="1"/>
    <col min="7682" max="7927" width="11.42578125" style="259"/>
    <col min="7928" max="7928" width="15.42578125" style="259" customWidth="1"/>
    <col min="7929" max="7931" width="0" style="259" hidden="1" customWidth="1"/>
    <col min="7932" max="7932" width="24.5703125" style="259" customWidth="1"/>
    <col min="7933" max="7937" width="0" style="259" hidden="1" customWidth="1"/>
    <col min="7938" max="8183" width="11.42578125" style="259"/>
    <col min="8184" max="8184" width="15.42578125" style="259" customWidth="1"/>
    <col min="8185" max="8187" width="0" style="259" hidden="1" customWidth="1"/>
    <col min="8188" max="8188" width="24.5703125" style="259" customWidth="1"/>
    <col min="8189" max="8193" width="0" style="259" hidden="1" customWidth="1"/>
    <col min="8194" max="8439" width="11.42578125" style="259"/>
    <col min="8440" max="8440" width="15.42578125" style="259" customWidth="1"/>
    <col min="8441" max="8443" width="0" style="259" hidden="1" customWidth="1"/>
    <col min="8444" max="8444" width="24.5703125" style="259" customWidth="1"/>
    <col min="8445" max="8449" width="0" style="259" hidden="1" customWidth="1"/>
    <col min="8450" max="8695" width="11.42578125" style="259"/>
    <col min="8696" max="8696" width="15.42578125" style="259" customWidth="1"/>
    <col min="8697" max="8699" width="0" style="259" hidden="1" customWidth="1"/>
    <col min="8700" max="8700" width="24.5703125" style="259" customWidth="1"/>
    <col min="8701" max="8705" width="0" style="259" hidden="1" customWidth="1"/>
    <col min="8706" max="8951" width="11.42578125" style="259"/>
    <col min="8952" max="8952" width="15.42578125" style="259" customWidth="1"/>
    <col min="8953" max="8955" width="0" style="259" hidden="1" customWidth="1"/>
    <col min="8956" max="8956" width="24.5703125" style="259" customWidth="1"/>
    <col min="8957" max="8961" width="0" style="259" hidden="1" customWidth="1"/>
    <col min="8962" max="9207" width="11.42578125" style="259"/>
    <col min="9208" max="9208" width="15.42578125" style="259" customWidth="1"/>
    <col min="9209" max="9211" width="0" style="259" hidden="1" customWidth="1"/>
    <col min="9212" max="9212" width="24.5703125" style="259" customWidth="1"/>
    <col min="9213" max="9217" width="0" style="259" hidden="1" customWidth="1"/>
    <col min="9218" max="9463" width="11.42578125" style="259"/>
    <col min="9464" max="9464" width="15.42578125" style="259" customWidth="1"/>
    <col min="9465" max="9467" width="0" style="259" hidden="1" customWidth="1"/>
    <col min="9468" max="9468" width="24.5703125" style="259" customWidth="1"/>
    <col min="9469" max="9473" width="0" style="259" hidden="1" customWidth="1"/>
    <col min="9474" max="9719" width="11.42578125" style="259"/>
    <col min="9720" max="9720" width="15.42578125" style="259" customWidth="1"/>
    <col min="9721" max="9723" width="0" style="259" hidden="1" customWidth="1"/>
    <col min="9724" max="9724" width="24.5703125" style="259" customWidth="1"/>
    <col min="9725" max="9729" width="0" style="259" hidden="1" customWidth="1"/>
    <col min="9730" max="9975" width="11.42578125" style="259"/>
    <col min="9976" max="9976" width="15.42578125" style="259" customWidth="1"/>
    <col min="9977" max="9979" width="0" style="259" hidden="1" customWidth="1"/>
    <col min="9980" max="9980" width="24.5703125" style="259" customWidth="1"/>
    <col min="9981" max="9985" width="0" style="259" hidden="1" customWidth="1"/>
    <col min="9986" max="10231" width="11.42578125" style="259"/>
    <col min="10232" max="10232" width="15.42578125" style="259" customWidth="1"/>
    <col min="10233" max="10235" width="0" style="259" hidden="1" customWidth="1"/>
    <col min="10236" max="10236" width="24.5703125" style="259" customWidth="1"/>
    <col min="10237" max="10241" width="0" style="259" hidden="1" customWidth="1"/>
    <col min="10242" max="10487" width="11.42578125" style="259"/>
    <col min="10488" max="10488" width="15.42578125" style="259" customWidth="1"/>
    <col min="10489" max="10491" width="0" style="259" hidden="1" customWidth="1"/>
    <col min="10492" max="10492" width="24.5703125" style="259" customWidth="1"/>
    <col min="10493" max="10497" width="0" style="259" hidden="1" customWidth="1"/>
    <col min="10498" max="10743" width="11.42578125" style="259"/>
    <col min="10744" max="10744" width="15.42578125" style="259" customWidth="1"/>
    <col min="10745" max="10747" width="0" style="259" hidden="1" customWidth="1"/>
    <col min="10748" max="10748" width="24.5703125" style="259" customWidth="1"/>
    <col min="10749" max="10753" width="0" style="259" hidden="1" customWidth="1"/>
    <col min="10754" max="10999" width="11.42578125" style="259"/>
    <col min="11000" max="11000" width="15.42578125" style="259" customWidth="1"/>
    <col min="11001" max="11003" width="0" style="259" hidden="1" customWidth="1"/>
    <col min="11004" max="11004" width="24.5703125" style="259" customWidth="1"/>
    <col min="11005" max="11009" width="0" style="259" hidden="1" customWidth="1"/>
    <col min="11010" max="11255" width="11.42578125" style="259"/>
    <col min="11256" max="11256" width="15.42578125" style="259" customWidth="1"/>
    <col min="11257" max="11259" width="0" style="259" hidden="1" customWidth="1"/>
    <col min="11260" max="11260" width="24.5703125" style="259" customWidth="1"/>
    <col min="11261" max="11265" width="0" style="259" hidden="1" customWidth="1"/>
    <col min="11266" max="11511" width="11.42578125" style="259"/>
    <col min="11512" max="11512" width="15.42578125" style="259" customWidth="1"/>
    <col min="11513" max="11515" width="0" style="259" hidden="1" customWidth="1"/>
    <col min="11516" max="11516" width="24.5703125" style="259" customWidth="1"/>
    <col min="11517" max="11521" width="0" style="259" hidden="1" customWidth="1"/>
    <col min="11522" max="11767" width="11.42578125" style="259"/>
    <col min="11768" max="11768" width="15.42578125" style="259" customWidth="1"/>
    <col min="11769" max="11771" width="0" style="259" hidden="1" customWidth="1"/>
    <col min="11772" max="11772" width="24.5703125" style="259" customWidth="1"/>
    <col min="11773" max="11777" width="0" style="259" hidden="1" customWidth="1"/>
    <col min="11778" max="12023" width="11.42578125" style="259"/>
    <col min="12024" max="12024" width="15.42578125" style="259" customWidth="1"/>
    <col min="12025" max="12027" width="0" style="259" hidden="1" customWidth="1"/>
    <col min="12028" max="12028" width="24.5703125" style="259" customWidth="1"/>
    <col min="12029" max="12033" width="0" style="259" hidden="1" customWidth="1"/>
    <col min="12034" max="12279" width="11.42578125" style="259"/>
    <col min="12280" max="12280" width="15.42578125" style="259" customWidth="1"/>
    <col min="12281" max="12283" width="0" style="259" hidden="1" customWidth="1"/>
    <col min="12284" max="12284" width="24.5703125" style="259" customWidth="1"/>
    <col min="12285" max="12289" width="0" style="259" hidden="1" customWidth="1"/>
    <col min="12290" max="12535" width="11.42578125" style="259"/>
    <col min="12536" max="12536" width="15.42578125" style="259" customWidth="1"/>
    <col min="12537" max="12539" width="0" style="259" hidden="1" customWidth="1"/>
    <col min="12540" max="12540" width="24.5703125" style="259" customWidth="1"/>
    <col min="12541" max="12545" width="0" style="259" hidden="1" customWidth="1"/>
    <col min="12546" max="12791" width="11.42578125" style="259"/>
    <col min="12792" max="12792" width="15.42578125" style="259" customWidth="1"/>
    <col min="12793" max="12795" width="0" style="259" hidden="1" customWidth="1"/>
    <col min="12796" max="12796" width="24.5703125" style="259" customWidth="1"/>
    <col min="12797" max="12801" width="0" style="259" hidden="1" customWidth="1"/>
    <col min="12802" max="13047" width="11.42578125" style="259"/>
    <col min="13048" max="13048" width="15.42578125" style="259" customWidth="1"/>
    <col min="13049" max="13051" width="0" style="259" hidden="1" customWidth="1"/>
    <col min="13052" max="13052" width="24.5703125" style="259" customWidth="1"/>
    <col min="13053" max="13057" width="0" style="259" hidden="1" customWidth="1"/>
    <col min="13058" max="13303" width="11.42578125" style="259"/>
    <col min="13304" max="13304" width="15.42578125" style="259" customWidth="1"/>
    <col min="13305" max="13307" width="0" style="259" hidden="1" customWidth="1"/>
    <col min="13308" max="13308" width="24.5703125" style="259" customWidth="1"/>
    <col min="13309" max="13313" width="0" style="259" hidden="1" customWidth="1"/>
    <col min="13314" max="13559" width="11.42578125" style="259"/>
    <col min="13560" max="13560" width="15.42578125" style="259" customWidth="1"/>
    <col min="13561" max="13563" width="0" style="259" hidden="1" customWidth="1"/>
    <col min="13564" max="13564" width="24.5703125" style="259" customWidth="1"/>
    <col min="13565" max="13569" width="0" style="259" hidden="1" customWidth="1"/>
    <col min="13570" max="13815" width="11.42578125" style="259"/>
    <col min="13816" max="13816" width="15.42578125" style="259" customWidth="1"/>
    <col min="13817" max="13819" width="0" style="259" hidden="1" customWidth="1"/>
    <col min="13820" max="13820" width="24.5703125" style="259" customWidth="1"/>
    <col min="13821" max="13825" width="0" style="259" hidden="1" customWidth="1"/>
    <col min="13826" max="14071" width="11.42578125" style="259"/>
    <col min="14072" max="14072" width="15.42578125" style="259" customWidth="1"/>
    <col min="14073" max="14075" width="0" style="259" hidden="1" customWidth="1"/>
    <col min="14076" max="14076" width="24.5703125" style="259" customWidth="1"/>
    <col min="14077" max="14081" width="0" style="259" hidden="1" customWidth="1"/>
    <col min="14082" max="14327" width="11.42578125" style="259"/>
    <col min="14328" max="14328" width="15.42578125" style="259" customWidth="1"/>
    <col min="14329" max="14331" width="0" style="259" hidden="1" customWidth="1"/>
    <col min="14332" max="14332" width="24.5703125" style="259" customWidth="1"/>
    <col min="14333" max="14337" width="0" style="259" hidden="1" customWidth="1"/>
    <col min="14338" max="14583" width="11.42578125" style="259"/>
    <col min="14584" max="14584" width="15.42578125" style="259" customWidth="1"/>
    <col min="14585" max="14587" width="0" style="259" hidden="1" customWidth="1"/>
    <col min="14588" max="14588" width="24.5703125" style="259" customWidth="1"/>
    <col min="14589" max="14593" width="0" style="259" hidden="1" customWidth="1"/>
    <col min="14594" max="14839" width="11.42578125" style="259"/>
    <col min="14840" max="14840" width="15.42578125" style="259" customWidth="1"/>
    <col min="14841" max="14843" width="0" style="259" hidden="1" customWidth="1"/>
    <col min="14844" max="14844" width="24.5703125" style="259" customWidth="1"/>
    <col min="14845" max="14849" width="0" style="259" hidden="1" customWidth="1"/>
    <col min="14850" max="15095" width="11.42578125" style="259"/>
    <col min="15096" max="15096" width="15.42578125" style="259" customWidth="1"/>
    <col min="15097" max="15099" width="0" style="259" hidden="1" customWidth="1"/>
    <col min="15100" max="15100" width="24.5703125" style="259" customWidth="1"/>
    <col min="15101" max="15105" width="0" style="259" hidden="1" customWidth="1"/>
    <col min="15106" max="15351" width="11.42578125" style="259"/>
    <col min="15352" max="15352" width="15.42578125" style="259" customWidth="1"/>
    <col min="15353" max="15355" width="0" style="259" hidden="1" customWidth="1"/>
    <col min="15356" max="15356" width="24.5703125" style="259" customWidth="1"/>
    <col min="15357" max="15361" width="0" style="259" hidden="1" customWidth="1"/>
    <col min="15362" max="15607" width="11.42578125" style="259"/>
    <col min="15608" max="15608" width="15.42578125" style="259" customWidth="1"/>
    <col min="15609" max="15611" width="0" style="259" hidden="1" customWidth="1"/>
    <col min="15612" max="15612" width="24.5703125" style="259" customWidth="1"/>
    <col min="15613" max="15617" width="0" style="259" hidden="1" customWidth="1"/>
    <col min="15618" max="15863" width="11.42578125" style="259"/>
    <col min="15864" max="15864" width="15.42578125" style="259" customWidth="1"/>
    <col min="15865" max="15867" width="0" style="259" hidden="1" customWidth="1"/>
    <col min="15868" max="15868" width="24.5703125" style="259" customWidth="1"/>
    <col min="15869" max="15873" width="0" style="259" hidden="1" customWidth="1"/>
    <col min="15874" max="16119" width="11.42578125" style="259"/>
    <col min="16120" max="16120" width="15.42578125" style="259" customWidth="1"/>
    <col min="16121" max="16123" width="0" style="259" hidden="1" customWidth="1"/>
    <col min="16124" max="16124" width="24.5703125" style="259" customWidth="1"/>
    <col min="16125" max="16129" width="0" style="259" hidden="1" customWidth="1"/>
    <col min="16130" max="16378" width="11.42578125" style="259"/>
    <col min="16379" max="16379" width="11.42578125" style="259" customWidth="1"/>
    <col min="16380" max="16384" width="11.42578125" style="259"/>
  </cols>
  <sheetData>
    <row r="1" spans="2:7" hidden="1" x14ac:dyDescent="0.2"/>
    <row r="3" spans="2:7" ht="13.5" thickBot="1" x14ac:dyDescent="0.25">
      <c r="B3" s="259" t="s">
        <v>104</v>
      </c>
    </row>
    <row r="4" spans="2:7" ht="13.5" thickBot="1" x14ac:dyDescent="0.25">
      <c r="B4" s="464"/>
      <c r="C4" s="448">
        <v>2018</v>
      </c>
      <c r="D4" s="474">
        <v>2019</v>
      </c>
      <c r="E4" s="448">
        <v>2020</v>
      </c>
      <c r="F4" s="587">
        <v>2021</v>
      </c>
      <c r="G4" s="587">
        <v>2022</v>
      </c>
    </row>
    <row r="5" spans="2:7" x14ac:dyDescent="0.2">
      <c r="B5" s="465" t="s">
        <v>95</v>
      </c>
      <c r="C5" s="356">
        <v>1855</v>
      </c>
      <c r="D5" s="468">
        <v>1782</v>
      </c>
      <c r="E5" s="588">
        <f>BEaH20!B25</f>
        <v>1772</v>
      </c>
      <c r="F5" s="590">
        <f>BEaH21!B25</f>
        <v>1706</v>
      </c>
      <c r="G5" s="590">
        <f>BEaH22!B25</f>
        <v>1707</v>
      </c>
    </row>
    <row r="6" spans="2:7" x14ac:dyDescent="0.2">
      <c r="B6" s="466" t="s">
        <v>70</v>
      </c>
      <c r="C6" s="265">
        <v>793</v>
      </c>
      <c r="D6" s="458">
        <v>751</v>
      </c>
      <c r="E6" s="265">
        <f>BEaH20!C25</f>
        <v>776</v>
      </c>
      <c r="F6" s="591">
        <f>BEaH21!C25</f>
        <v>748</v>
      </c>
      <c r="G6" s="591">
        <f>BEaH22!C25</f>
        <v>842</v>
      </c>
    </row>
    <row r="7" spans="2:7" x14ac:dyDescent="0.2">
      <c r="B7" s="466" t="s">
        <v>96</v>
      </c>
      <c r="C7" s="265">
        <v>2949</v>
      </c>
      <c r="D7" s="458">
        <v>2780</v>
      </c>
      <c r="E7" s="265">
        <f>BEaH20!D25</f>
        <v>2805</v>
      </c>
      <c r="F7" s="591">
        <f>BEaH21!D25</f>
        <v>2833</v>
      </c>
      <c r="G7" s="591">
        <f>BEaH22!D25</f>
        <v>2446</v>
      </c>
    </row>
    <row r="8" spans="2:7" x14ac:dyDescent="0.2">
      <c r="B8" s="466" t="s">
        <v>97</v>
      </c>
      <c r="C8" s="265">
        <v>2698</v>
      </c>
      <c r="D8" s="458">
        <v>2588</v>
      </c>
      <c r="E8" s="265">
        <f>BEaH20!E25</f>
        <v>2672</v>
      </c>
      <c r="F8" s="591">
        <f>BEaH21!E25</f>
        <v>2781</v>
      </c>
      <c r="G8" s="591">
        <f>BEaH22!E25</f>
        <v>2764</v>
      </c>
    </row>
    <row r="9" spans="2:7" ht="13.5" thickBot="1" x14ac:dyDescent="0.25">
      <c r="B9" s="467" t="s">
        <v>98</v>
      </c>
      <c r="C9" s="445">
        <v>1137</v>
      </c>
      <c r="D9" s="475">
        <v>1104</v>
      </c>
      <c r="E9" s="353">
        <f>BEaH20!F25</f>
        <v>1071</v>
      </c>
      <c r="F9" s="592">
        <f>BEaH21!F25</f>
        <v>1011</v>
      </c>
      <c r="G9" s="592">
        <f>BEaH22!F25</f>
        <v>1101</v>
      </c>
    </row>
    <row r="10" spans="2:7" ht="13.5" thickBot="1" x14ac:dyDescent="0.25">
      <c r="B10" s="464"/>
      <c r="C10" s="460">
        <v>9432</v>
      </c>
      <c r="D10" s="476">
        <v>9005</v>
      </c>
      <c r="E10" s="589">
        <f>SUM(E5:E9)</f>
        <v>9096</v>
      </c>
      <c r="F10" s="593">
        <f>BEaH21!G25</f>
        <v>9079</v>
      </c>
      <c r="G10" s="593">
        <f>BEaH22!G25</f>
        <v>8860</v>
      </c>
    </row>
    <row r="11" spans="2:7" x14ac:dyDescent="0.2">
      <c r="E11" s="268"/>
      <c r="F11" s="268"/>
    </row>
    <row r="60" spans="2:3" x14ac:dyDescent="0.2">
      <c r="B60" s="259" t="s">
        <v>92</v>
      </c>
    </row>
    <row r="61" spans="2:3" x14ac:dyDescent="0.2">
      <c r="C61" s="260">
        <v>2011</v>
      </c>
    </row>
    <row r="62" spans="2:3" x14ac:dyDescent="0.2">
      <c r="B62" s="262" t="s">
        <v>93</v>
      </c>
      <c r="C62" s="266">
        <v>11530</v>
      </c>
    </row>
    <row r="63" spans="2:3" x14ac:dyDescent="0.2">
      <c r="B63" s="262"/>
    </row>
    <row r="64" spans="2:3" x14ac:dyDescent="0.2">
      <c r="B64" s="262"/>
    </row>
    <row r="65" spans="2:2" x14ac:dyDescent="0.2">
      <c r="B65" s="262"/>
    </row>
    <row r="66" spans="2:2" x14ac:dyDescent="0.2">
      <c r="B66" s="262"/>
    </row>
    <row r="95" spans="1:2" x14ac:dyDescent="0.2">
      <c r="B95" s="260"/>
    </row>
    <row r="96" spans="1:2" x14ac:dyDescent="0.2">
      <c r="A96" s="268"/>
      <c r="B96" s="268"/>
    </row>
    <row r="97" spans="1:2" x14ac:dyDescent="0.2">
      <c r="A97" s="268"/>
      <c r="B97" s="268"/>
    </row>
    <row r="98" spans="1:2" x14ac:dyDescent="0.2">
      <c r="A98" s="268"/>
      <c r="B98" s="268"/>
    </row>
    <row r="99" spans="1:2" x14ac:dyDescent="0.2">
      <c r="A99" s="268"/>
      <c r="B99" s="268"/>
    </row>
    <row r="100" spans="1:2" x14ac:dyDescent="0.2">
      <c r="A100" s="268"/>
      <c r="B100" s="268"/>
    </row>
    <row r="101" spans="1:2" x14ac:dyDescent="0.2">
      <c r="A101" s="268"/>
      <c r="B101" s="268"/>
    </row>
    <row r="102" spans="1:2" x14ac:dyDescent="0.2">
      <c r="A102" s="268"/>
      <c r="B102" s="268"/>
    </row>
    <row r="103" spans="1:2" x14ac:dyDescent="0.2">
      <c r="A103" s="268"/>
      <c r="B103" s="268"/>
    </row>
    <row r="104" spans="1:2" x14ac:dyDescent="0.2">
      <c r="A104" s="268"/>
      <c r="B104" s="268"/>
    </row>
    <row r="105" spans="1:2" x14ac:dyDescent="0.2">
      <c r="A105" s="268"/>
      <c r="B105" s="268"/>
    </row>
  </sheetData>
  <pageMargins left="0.39370078740157483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1"/>
  <dimension ref="A1:F5"/>
  <sheetViews>
    <sheetView zoomScaleNormal="100" workbookViewId="0">
      <selection activeCell="B2" sqref="B2:B5"/>
    </sheetView>
  </sheetViews>
  <sheetFormatPr baseColWidth="10" defaultRowHeight="12.75" x14ac:dyDescent="0.2"/>
  <cols>
    <col min="1" max="1" width="21.85546875" style="259" customWidth="1"/>
    <col min="2" max="2" width="11.42578125" style="259"/>
    <col min="3" max="3" width="11.42578125" style="259" customWidth="1"/>
    <col min="4" max="5" width="11.42578125" style="259"/>
    <col min="6" max="6" width="12.42578125" style="259" bestFit="1" customWidth="1"/>
    <col min="7" max="7" width="9.140625" style="259" bestFit="1" customWidth="1"/>
    <col min="8" max="8" width="11" style="259" bestFit="1" customWidth="1"/>
    <col min="9" max="9" width="11.42578125" style="259"/>
    <col min="10" max="10" width="15.42578125" style="259" bestFit="1" customWidth="1"/>
    <col min="11" max="249" width="11.42578125" style="259"/>
    <col min="250" max="250" width="21.85546875" style="259" customWidth="1"/>
    <col min="251" max="256" width="0" style="259" hidden="1" customWidth="1"/>
    <col min="257" max="257" width="13.85546875" style="259" customWidth="1"/>
    <col min="258" max="258" width="11.42578125" style="259"/>
    <col min="259" max="259" width="0" style="259" hidden="1" customWidth="1"/>
    <col min="260" max="261" width="11.42578125" style="259"/>
    <col min="262" max="262" width="12.42578125" style="259" bestFit="1" customWidth="1"/>
    <col min="263" max="263" width="9.140625" style="259" bestFit="1" customWidth="1"/>
    <col min="264" max="264" width="11" style="259" bestFit="1" customWidth="1"/>
    <col min="265" max="265" width="11.42578125" style="259"/>
    <col min="266" max="266" width="15.42578125" style="259" bestFit="1" customWidth="1"/>
    <col min="267" max="505" width="11.42578125" style="259"/>
    <col min="506" max="506" width="21.85546875" style="259" customWidth="1"/>
    <col min="507" max="512" width="0" style="259" hidden="1" customWidth="1"/>
    <col min="513" max="513" width="13.85546875" style="259" customWidth="1"/>
    <col min="514" max="514" width="11.42578125" style="259"/>
    <col min="515" max="515" width="0" style="259" hidden="1" customWidth="1"/>
    <col min="516" max="517" width="11.42578125" style="259"/>
    <col min="518" max="518" width="12.42578125" style="259" bestFit="1" customWidth="1"/>
    <col min="519" max="519" width="9.140625" style="259" bestFit="1" customWidth="1"/>
    <col min="520" max="520" width="11" style="259" bestFit="1" customWidth="1"/>
    <col min="521" max="521" width="11.42578125" style="259"/>
    <col min="522" max="522" width="15.42578125" style="259" bestFit="1" customWidth="1"/>
    <col min="523" max="761" width="11.42578125" style="259"/>
    <col min="762" max="762" width="21.85546875" style="259" customWidth="1"/>
    <col min="763" max="768" width="0" style="259" hidden="1" customWidth="1"/>
    <col min="769" max="769" width="13.85546875" style="259" customWidth="1"/>
    <col min="770" max="770" width="11.42578125" style="259"/>
    <col min="771" max="771" width="0" style="259" hidden="1" customWidth="1"/>
    <col min="772" max="773" width="11.42578125" style="259"/>
    <col min="774" max="774" width="12.42578125" style="259" bestFit="1" customWidth="1"/>
    <col min="775" max="775" width="9.140625" style="259" bestFit="1" customWidth="1"/>
    <col min="776" max="776" width="11" style="259" bestFit="1" customWidth="1"/>
    <col min="777" max="777" width="11.42578125" style="259"/>
    <col min="778" max="778" width="15.42578125" style="259" bestFit="1" customWidth="1"/>
    <col min="779" max="1017" width="11.42578125" style="259"/>
    <col min="1018" max="1018" width="21.85546875" style="259" customWidth="1"/>
    <col min="1019" max="1024" width="0" style="259" hidden="1" customWidth="1"/>
    <col min="1025" max="1025" width="13.85546875" style="259" customWidth="1"/>
    <col min="1026" max="1026" width="11.42578125" style="259"/>
    <col min="1027" max="1027" width="0" style="259" hidden="1" customWidth="1"/>
    <col min="1028" max="1029" width="11.42578125" style="259"/>
    <col min="1030" max="1030" width="12.42578125" style="259" bestFit="1" customWidth="1"/>
    <col min="1031" max="1031" width="9.140625" style="259" bestFit="1" customWidth="1"/>
    <col min="1032" max="1032" width="11" style="259" bestFit="1" customWidth="1"/>
    <col min="1033" max="1033" width="11.42578125" style="259"/>
    <col min="1034" max="1034" width="15.42578125" style="259" bestFit="1" customWidth="1"/>
    <col min="1035" max="1273" width="11.42578125" style="259"/>
    <col min="1274" max="1274" width="21.85546875" style="259" customWidth="1"/>
    <col min="1275" max="1280" width="0" style="259" hidden="1" customWidth="1"/>
    <col min="1281" max="1281" width="13.85546875" style="259" customWidth="1"/>
    <col min="1282" max="1282" width="11.42578125" style="259"/>
    <col min="1283" max="1283" width="0" style="259" hidden="1" customWidth="1"/>
    <col min="1284" max="1285" width="11.42578125" style="259"/>
    <col min="1286" max="1286" width="12.42578125" style="259" bestFit="1" customWidth="1"/>
    <col min="1287" max="1287" width="9.140625" style="259" bestFit="1" customWidth="1"/>
    <col min="1288" max="1288" width="11" style="259" bestFit="1" customWidth="1"/>
    <col min="1289" max="1289" width="11.42578125" style="259"/>
    <col min="1290" max="1290" width="15.42578125" style="259" bestFit="1" customWidth="1"/>
    <col min="1291" max="1529" width="11.42578125" style="259"/>
    <col min="1530" max="1530" width="21.85546875" style="259" customWidth="1"/>
    <col min="1531" max="1536" width="0" style="259" hidden="1" customWidth="1"/>
    <col min="1537" max="1537" width="13.85546875" style="259" customWidth="1"/>
    <col min="1538" max="1538" width="11.42578125" style="259"/>
    <col min="1539" max="1539" width="0" style="259" hidden="1" customWidth="1"/>
    <col min="1540" max="1541" width="11.42578125" style="259"/>
    <col min="1542" max="1542" width="12.42578125" style="259" bestFit="1" customWidth="1"/>
    <col min="1543" max="1543" width="9.140625" style="259" bestFit="1" customWidth="1"/>
    <col min="1544" max="1544" width="11" style="259" bestFit="1" customWidth="1"/>
    <col min="1545" max="1545" width="11.42578125" style="259"/>
    <col min="1546" max="1546" width="15.42578125" style="259" bestFit="1" customWidth="1"/>
    <col min="1547" max="1785" width="11.42578125" style="259"/>
    <col min="1786" max="1786" width="21.85546875" style="259" customWidth="1"/>
    <col min="1787" max="1792" width="0" style="259" hidden="1" customWidth="1"/>
    <col min="1793" max="1793" width="13.85546875" style="259" customWidth="1"/>
    <col min="1794" max="1794" width="11.42578125" style="259"/>
    <col min="1795" max="1795" width="0" style="259" hidden="1" customWidth="1"/>
    <col min="1796" max="1797" width="11.42578125" style="259"/>
    <col min="1798" max="1798" width="12.42578125" style="259" bestFit="1" customWidth="1"/>
    <col min="1799" max="1799" width="9.140625" style="259" bestFit="1" customWidth="1"/>
    <col min="1800" max="1800" width="11" style="259" bestFit="1" customWidth="1"/>
    <col min="1801" max="1801" width="11.42578125" style="259"/>
    <col min="1802" max="1802" width="15.42578125" style="259" bestFit="1" customWidth="1"/>
    <col min="1803" max="2041" width="11.42578125" style="259"/>
    <col min="2042" max="2042" width="21.85546875" style="259" customWidth="1"/>
    <col min="2043" max="2048" width="0" style="259" hidden="1" customWidth="1"/>
    <col min="2049" max="2049" width="13.85546875" style="259" customWidth="1"/>
    <col min="2050" max="2050" width="11.42578125" style="259"/>
    <col min="2051" max="2051" width="0" style="259" hidden="1" customWidth="1"/>
    <col min="2052" max="2053" width="11.42578125" style="259"/>
    <col min="2054" max="2054" width="12.42578125" style="259" bestFit="1" customWidth="1"/>
    <col min="2055" max="2055" width="9.140625" style="259" bestFit="1" customWidth="1"/>
    <col min="2056" max="2056" width="11" style="259" bestFit="1" customWidth="1"/>
    <col min="2057" max="2057" width="11.42578125" style="259"/>
    <col min="2058" max="2058" width="15.42578125" style="259" bestFit="1" customWidth="1"/>
    <col min="2059" max="2297" width="11.42578125" style="259"/>
    <col min="2298" max="2298" width="21.85546875" style="259" customWidth="1"/>
    <col min="2299" max="2304" width="0" style="259" hidden="1" customWidth="1"/>
    <col min="2305" max="2305" width="13.85546875" style="259" customWidth="1"/>
    <col min="2306" max="2306" width="11.42578125" style="259"/>
    <col min="2307" max="2307" width="0" style="259" hidden="1" customWidth="1"/>
    <col min="2308" max="2309" width="11.42578125" style="259"/>
    <col min="2310" max="2310" width="12.42578125" style="259" bestFit="1" customWidth="1"/>
    <col min="2311" max="2311" width="9.140625" style="259" bestFit="1" customWidth="1"/>
    <col min="2312" max="2312" width="11" style="259" bestFit="1" customWidth="1"/>
    <col min="2313" max="2313" width="11.42578125" style="259"/>
    <col min="2314" max="2314" width="15.42578125" style="259" bestFit="1" customWidth="1"/>
    <col min="2315" max="2553" width="11.42578125" style="259"/>
    <col min="2554" max="2554" width="21.85546875" style="259" customWidth="1"/>
    <col min="2555" max="2560" width="0" style="259" hidden="1" customWidth="1"/>
    <col min="2561" max="2561" width="13.85546875" style="259" customWidth="1"/>
    <col min="2562" max="2562" width="11.42578125" style="259"/>
    <col min="2563" max="2563" width="0" style="259" hidden="1" customWidth="1"/>
    <col min="2564" max="2565" width="11.42578125" style="259"/>
    <col min="2566" max="2566" width="12.42578125" style="259" bestFit="1" customWidth="1"/>
    <col min="2567" max="2567" width="9.140625" style="259" bestFit="1" customWidth="1"/>
    <col min="2568" max="2568" width="11" style="259" bestFit="1" customWidth="1"/>
    <col min="2569" max="2569" width="11.42578125" style="259"/>
    <col min="2570" max="2570" width="15.42578125" style="259" bestFit="1" customWidth="1"/>
    <col min="2571" max="2809" width="11.42578125" style="259"/>
    <col min="2810" max="2810" width="21.85546875" style="259" customWidth="1"/>
    <col min="2811" max="2816" width="0" style="259" hidden="1" customWidth="1"/>
    <col min="2817" max="2817" width="13.85546875" style="259" customWidth="1"/>
    <col min="2818" max="2818" width="11.42578125" style="259"/>
    <col min="2819" max="2819" width="0" style="259" hidden="1" customWidth="1"/>
    <col min="2820" max="2821" width="11.42578125" style="259"/>
    <col min="2822" max="2822" width="12.42578125" style="259" bestFit="1" customWidth="1"/>
    <col min="2823" max="2823" width="9.140625" style="259" bestFit="1" customWidth="1"/>
    <col min="2824" max="2824" width="11" style="259" bestFit="1" customWidth="1"/>
    <col min="2825" max="2825" width="11.42578125" style="259"/>
    <col min="2826" max="2826" width="15.42578125" style="259" bestFit="1" customWidth="1"/>
    <col min="2827" max="3065" width="11.42578125" style="259"/>
    <col min="3066" max="3066" width="21.85546875" style="259" customWidth="1"/>
    <col min="3067" max="3072" width="0" style="259" hidden="1" customWidth="1"/>
    <col min="3073" max="3073" width="13.85546875" style="259" customWidth="1"/>
    <col min="3074" max="3074" width="11.42578125" style="259"/>
    <col min="3075" max="3075" width="0" style="259" hidden="1" customWidth="1"/>
    <col min="3076" max="3077" width="11.42578125" style="259"/>
    <col min="3078" max="3078" width="12.42578125" style="259" bestFit="1" customWidth="1"/>
    <col min="3079" max="3079" width="9.140625" style="259" bestFit="1" customWidth="1"/>
    <col min="3080" max="3080" width="11" style="259" bestFit="1" customWidth="1"/>
    <col min="3081" max="3081" width="11.42578125" style="259"/>
    <col min="3082" max="3082" width="15.42578125" style="259" bestFit="1" customWidth="1"/>
    <col min="3083" max="3321" width="11.42578125" style="259"/>
    <col min="3322" max="3322" width="21.85546875" style="259" customWidth="1"/>
    <col min="3323" max="3328" width="0" style="259" hidden="1" customWidth="1"/>
    <col min="3329" max="3329" width="13.85546875" style="259" customWidth="1"/>
    <col min="3330" max="3330" width="11.42578125" style="259"/>
    <col min="3331" max="3331" width="0" style="259" hidden="1" customWidth="1"/>
    <col min="3332" max="3333" width="11.42578125" style="259"/>
    <col min="3334" max="3334" width="12.42578125" style="259" bestFit="1" customWidth="1"/>
    <col min="3335" max="3335" width="9.140625" style="259" bestFit="1" customWidth="1"/>
    <col min="3336" max="3336" width="11" style="259" bestFit="1" customWidth="1"/>
    <col min="3337" max="3337" width="11.42578125" style="259"/>
    <col min="3338" max="3338" width="15.42578125" style="259" bestFit="1" customWidth="1"/>
    <col min="3339" max="3577" width="11.42578125" style="259"/>
    <col min="3578" max="3578" width="21.85546875" style="259" customWidth="1"/>
    <col min="3579" max="3584" width="0" style="259" hidden="1" customWidth="1"/>
    <col min="3585" max="3585" width="13.85546875" style="259" customWidth="1"/>
    <col min="3586" max="3586" width="11.42578125" style="259"/>
    <col min="3587" max="3587" width="0" style="259" hidden="1" customWidth="1"/>
    <col min="3588" max="3589" width="11.42578125" style="259"/>
    <col min="3590" max="3590" width="12.42578125" style="259" bestFit="1" customWidth="1"/>
    <col min="3591" max="3591" width="9.140625" style="259" bestFit="1" customWidth="1"/>
    <col min="3592" max="3592" width="11" style="259" bestFit="1" customWidth="1"/>
    <col min="3593" max="3593" width="11.42578125" style="259"/>
    <col min="3594" max="3594" width="15.42578125" style="259" bestFit="1" customWidth="1"/>
    <col min="3595" max="3833" width="11.42578125" style="259"/>
    <col min="3834" max="3834" width="21.85546875" style="259" customWidth="1"/>
    <col min="3835" max="3840" width="0" style="259" hidden="1" customWidth="1"/>
    <col min="3841" max="3841" width="13.85546875" style="259" customWidth="1"/>
    <col min="3842" max="3842" width="11.42578125" style="259"/>
    <col min="3843" max="3843" width="0" style="259" hidden="1" customWidth="1"/>
    <col min="3844" max="3845" width="11.42578125" style="259"/>
    <col min="3846" max="3846" width="12.42578125" style="259" bestFit="1" customWidth="1"/>
    <col min="3847" max="3847" width="9.140625" style="259" bestFit="1" customWidth="1"/>
    <col min="3848" max="3848" width="11" style="259" bestFit="1" customWidth="1"/>
    <col min="3849" max="3849" width="11.42578125" style="259"/>
    <col min="3850" max="3850" width="15.42578125" style="259" bestFit="1" customWidth="1"/>
    <col min="3851" max="4089" width="11.42578125" style="259"/>
    <col min="4090" max="4090" width="21.85546875" style="259" customWidth="1"/>
    <col min="4091" max="4096" width="0" style="259" hidden="1" customWidth="1"/>
    <col min="4097" max="4097" width="13.85546875" style="259" customWidth="1"/>
    <col min="4098" max="4098" width="11.42578125" style="259"/>
    <col min="4099" max="4099" width="0" style="259" hidden="1" customWidth="1"/>
    <col min="4100" max="4101" width="11.42578125" style="259"/>
    <col min="4102" max="4102" width="12.42578125" style="259" bestFit="1" customWidth="1"/>
    <col min="4103" max="4103" width="9.140625" style="259" bestFit="1" customWidth="1"/>
    <col min="4104" max="4104" width="11" style="259" bestFit="1" customWidth="1"/>
    <col min="4105" max="4105" width="11.42578125" style="259"/>
    <col min="4106" max="4106" width="15.42578125" style="259" bestFit="1" customWidth="1"/>
    <col min="4107" max="4345" width="11.42578125" style="259"/>
    <col min="4346" max="4346" width="21.85546875" style="259" customWidth="1"/>
    <col min="4347" max="4352" width="0" style="259" hidden="1" customWidth="1"/>
    <col min="4353" max="4353" width="13.85546875" style="259" customWidth="1"/>
    <col min="4354" max="4354" width="11.42578125" style="259"/>
    <col min="4355" max="4355" width="0" style="259" hidden="1" customWidth="1"/>
    <col min="4356" max="4357" width="11.42578125" style="259"/>
    <col min="4358" max="4358" width="12.42578125" style="259" bestFit="1" customWidth="1"/>
    <col min="4359" max="4359" width="9.140625" style="259" bestFit="1" customWidth="1"/>
    <col min="4360" max="4360" width="11" style="259" bestFit="1" customWidth="1"/>
    <col min="4361" max="4361" width="11.42578125" style="259"/>
    <col min="4362" max="4362" width="15.42578125" style="259" bestFit="1" customWidth="1"/>
    <col min="4363" max="4601" width="11.42578125" style="259"/>
    <col min="4602" max="4602" width="21.85546875" style="259" customWidth="1"/>
    <col min="4603" max="4608" width="0" style="259" hidden="1" customWidth="1"/>
    <col min="4609" max="4609" width="13.85546875" style="259" customWidth="1"/>
    <col min="4610" max="4610" width="11.42578125" style="259"/>
    <col min="4611" max="4611" width="0" style="259" hidden="1" customWidth="1"/>
    <col min="4612" max="4613" width="11.42578125" style="259"/>
    <col min="4614" max="4614" width="12.42578125" style="259" bestFit="1" customWidth="1"/>
    <col min="4615" max="4615" width="9.140625" style="259" bestFit="1" customWidth="1"/>
    <col min="4616" max="4616" width="11" style="259" bestFit="1" customWidth="1"/>
    <col min="4617" max="4617" width="11.42578125" style="259"/>
    <col min="4618" max="4618" width="15.42578125" style="259" bestFit="1" customWidth="1"/>
    <col min="4619" max="4857" width="11.42578125" style="259"/>
    <col min="4858" max="4858" width="21.85546875" style="259" customWidth="1"/>
    <col min="4859" max="4864" width="0" style="259" hidden="1" customWidth="1"/>
    <col min="4865" max="4865" width="13.85546875" style="259" customWidth="1"/>
    <col min="4866" max="4866" width="11.42578125" style="259"/>
    <col min="4867" max="4867" width="0" style="259" hidden="1" customWidth="1"/>
    <col min="4868" max="4869" width="11.42578125" style="259"/>
    <col min="4870" max="4870" width="12.42578125" style="259" bestFit="1" customWidth="1"/>
    <col min="4871" max="4871" width="9.140625" style="259" bestFit="1" customWidth="1"/>
    <col min="4872" max="4872" width="11" style="259" bestFit="1" customWidth="1"/>
    <col min="4873" max="4873" width="11.42578125" style="259"/>
    <col min="4874" max="4874" width="15.42578125" style="259" bestFit="1" customWidth="1"/>
    <col min="4875" max="5113" width="11.42578125" style="259"/>
    <col min="5114" max="5114" width="21.85546875" style="259" customWidth="1"/>
    <col min="5115" max="5120" width="0" style="259" hidden="1" customWidth="1"/>
    <col min="5121" max="5121" width="13.85546875" style="259" customWidth="1"/>
    <col min="5122" max="5122" width="11.42578125" style="259"/>
    <col min="5123" max="5123" width="0" style="259" hidden="1" customWidth="1"/>
    <col min="5124" max="5125" width="11.42578125" style="259"/>
    <col min="5126" max="5126" width="12.42578125" style="259" bestFit="1" customWidth="1"/>
    <col min="5127" max="5127" width="9.140625" style="259" bestFit="1" customWidth="1"/>
    <col min="5128" max="5128" width="11" style="259" bestFit="1" customWidth="1"/>
    <col min="5129" max="5129" width="11.42578125" style="259"/>
    <col min="5130" max="5130" width="15.42578125" style="259" bestFit="1" customWidth="1"/>
    <col min="5131" max="5369" width="11.42578125" style="259"/>
    <col min="5370" max="5370" width="21.85546875" style="259" customWidth="1"/>
    <col min="5371" max="5376" width="0" style="259" hidden="1" customWidth="1"/>
    <col min="5377" max="5377" width="13.85546875" style="259" customWidth="1"/>
    <col min="5378" max="5378" width="11.42578125" style="259"/>
    <col min="5379" max="5379" width="0" style="259" hidden="1" customWidth="1"/>
    <col min="5380" max="5381" width="11.42578125" style="259"/>
    <col min="5382" max="5382" width="12.42578125" style="259" bestFit="1" customWidth="1"/>
    <col min="5383" max="5383" width="9.140625" style="259" bestFit="1" customWidth="1"/>
    <col min="5384" max="5384" width="11" style="259" bestFit="1" customWidth="1"/>
    <col min="5385" max="5385" width="11.42578125" style="259"/>
    <col min="5386" max="5386" width="15.42578125" style="259" bestFit="1" customWidth="1"/>
    <col min="5387" max="5625" width="11.42578125" style="259"/>
    <col min="5626" max="5626" width="21.85546875" style="259" customWidth="1"/>
    <col min="5627" max="5632" width="0" style="259" hidden="1" customWidth="1"/>
    <col min="5633" max="5633" width="13.85546875" style="259" customWidth="1"/>
    <col min="5634" max="5634" width="11.42578125" style="259"/>
    <col min="5635" max="5635" width="0" style="259" hidden="1" customWidth="1"/>
    <col min="5636" max="5637" width="11.42578125" style="259"/>
    <col min="5638" max="5638" width="12.42578125" style="259" bestFit="1" customWidth="1"/>
    <col min="5639" max="5639" width="9.140625" style="259" bestFit="1" customWidth="1"/>
    <col min="5640" max="5640" width="11" style="259" bestFit="1" customWidth="1"/>
    <col min="5641" max="5641" width="11.42578125" style="259"/>
    <col min="5642" max="5642" width="15.42578125" style="259" bestFit="1" customWidth="1"/>
    <col min="5643" max="5881" width="11.42578125" style="259"/>
    <col min="5882" max="5882" width="21.85546875" style="259" customWidth="1"/>
    <col min="5883" max="5888" width="0" style="259" hidden="1" customWidth="1"/>
    <col min="5889" max="5889" width="13.85546875" style="259" customWidth="1"/>
    <col min="5890" max="5890" width="11.42578125" style="259"/>
    <col min="5891" max="5891" width="0" style="259" hidden="1" customWidth="1"/>
    <col min="5892" max="5893" width="11.42578125" style="259"/>
    <col min="5894" max="5894" width="12.42578125" style="259" bestFit="1" customWidth="1"/>
    <col min="5895" max="5895" width="9.140625" style="259" bestFit="1" customWidth="1"/>
    <col min="5896" max="5896" width="11" style="259" bestFit="1" customWidth="1"/>
    <col min="5897" max="5897" width="11.42578125" style="259"/>
    <col min="5898" max="5898" width="15.42578125" style="259" bestFit="1" customWidth="1"/>
    <col min="5899" max="6137" width="11.42578125" style="259"/>
    <col min="6138" max="6138" width="21.85546875" style="259" customWidth="1"/>
    <col min="6139" max="6144" width="0" style="259" hidden="1" customWidth="1"/>
    <col min="6145" max="6145" width="13.85546875" style="259" customWidth="1"/>
    <col min="6146" max="6146" width="11.42578125" style="259"/>
    <col min="6147" max="6147" width="0" style="259" hidden="1" customWidth="1"/>
    <col min="6148" max="6149" width="11.42578125" style="259"/>
    <col min="6150" max="6150" width="12.42578125" style="259" bestFit="1" customWidth="1"/>
    <col min="6151" max="6151" width="9.140625" style="259" bestFit="1" customWidth="1"/>
    <col min="6152" max="6152" width="11" style="259" bestFit="1" customWidth="1"/>
    <col min="6153" max="6153" width="11.42578125" style="259"/>
    <col min="6154" max="6154" width="15.42578125" style="259" bestFit="1" customWidth="1"/>
    <col min="6155" max="6393" width="11.42578125" style="259"/>
    <col min="6394" max="6394" width="21.85546875" style="259" customWidth="1"/>
    <col min="6395" max="6400" width="0" style="259" hidden="1" customWidth="1"/>
    <col min="6401" max="6401" width="13.85546875" style="259" customWidth="1"/>
    <col min="6402" max="6402" width="11.42578125" style="259"/>
    <col min="6403" max="6403" width="0" style="259" hidden="1" customWidth="1"/>
    <col min="6404" max="6405" width="11.42578125" style="259"/>
    <col min="6406" max="6406" width="12.42578125" style="259" bestFit="1" customWidth="1"/>
    <col min="6407" max="6407" width="9.140625" style="259" bestFit="1" customWidth="1"/>
    <col min="6408" max="6408" width="11" style="259" bestFit="1" customWidth="1"/>
    <col min="6409" max="6409" width="11.42578125" style="259"/>
    <col min="6410" max="6410" width="15.42578125" style="259" bestFit="1" customWidth="1"/>
    <col min="6411" max="6649" width="11.42578125" style="259"/>
    <col min="6650" max="6650" width="21.85546875" style="259" customWidth="1"/>
    <col min="6651" max="6656" width="0" style="259" hidden="1" customWidth="1"/>
    <col min="6657" max="6657" width="13.85546875" style="259" customWidth="1"/>
    <col min="6658" max="6658" width="11.42578125" style="259"/>
    <col min="6659" max="6659" width="0" style="259" hidden="1" customWidth="1"/>
    <col min="6660" max="6661" width="11.42578125" style="259"/>
    <col min="6662" max="6662" width="12.42578125" style="259" bestFit="1" customWidth="1"/>
    <col min="6663" max="6663" width="9.140625" style="259" bestFit="1" customWidth="1"/>
    <col min="6664" max="6664" width="11" style="259" bestFit="1" customWidth="1"/>
    <col min="6665" max="6665" width="11.42578125" style="259"/>
    <col min="6666" max="6666" width="15.42578125" style="259" bestFit="1" customWidth="1"/>
    <col min="6667" max="6905" width="11.42578125" style="259"/>
    <col min="6906" max="6906" width="21.85546875" style="259" customWidth="1"/>
    <col min="6907" max="6912" width="0" style="259" hidden="1" customWidth="1"/>
    <col min="6913" max="6913" width="13.85546875" style="259" customWidth="1"/>
    <col min="6914" max="6914" width="11.42578125" style="259"/>
    <col min="6915" max="6915" width="0" style="259" hidden="1" customWidth="1"/>
    <col min="6916" max="6917" width="11.42578125" style="259"/>
    <col min="6918" max="6918" width="12.42578125" style="259" bestFit="1" customWidth="1"/>
    <col min="6919" max="6919" width="9.140625" style="259" bestFit="1" customWidth="1"/>
    <col min="6920" max="6920" width="11" style="259" bestFit="1" customWidth="1"/>
    <col min="6921" max="6921" width="11.42578125" style="259"/>
    <col min="6922" max="6922" width="15.42578125" style="259" bestFit="1" customWidth="1"/>
    <col min="6923" max="7161" width="11.42578125" style="259"/>
    <col min="7162" max="7162" width="21.85546875" style="259" customWidth="1"/>
    <col min="7163" max="7168" width="0" style="259" hidden="1" customWidth="1"/>
    <col min="7169" max="7169" width="13.85546875" style="259" customWidth="1"/>
    <col min="7170" max="7170" width="11.42578125" style="259"/>
    <col min="7171" max="7171" width="0" style="259" hidden="1" customWidth="1"/>
    <col min="7172" max="7173" width="11.42578125" style="259"/>
    <col min="7174" max="7174" width="12.42578125" style="259" bestFit="1" customWidth="1"/>
    <col min="7175" max="7175" width="9.140625" style="259" bestFit="1" customWidth="1"/>
    <col min="7176" max="7176" width="11" style="259" bestFit="1" customWidth="1"/>
    <col min="7177" max="7177" width="11.42578125" style="259"/>
    <col min="7178" max="7178" width="15.42578125" style="259" bestFit="1" customWidth="1"/>
    <col min="7179" max="7417" width="11.42578125" style="259"/>
    <col min="7418" max="7418" width="21.85546875" style="259" customWidth="1"/>
    <col min="7419" max="7424" width="0" style="259" hidden="1" customWidth="1"/>
    <col min="7425" max="7425" width="13.85546875" style="259" customWidth="1"/>
    <col min="7426" max="7426" width="11.42578125" style="259"/>
    <col min="7427" max="7427" width="0" style="259" hidden="1" customWidth="1"/>
    <col min="7428" max="7429" width="11.42578125" style="259"/>
    <col min="7430" max="7430" width="12.42578125" style="259" bestFit="1" customWidth="1"/>
    <col min="7431" max="7431" width="9.140625" style="259" bestFit="1" customWidth="1"/>
    <col min="7432" max="7432" width="11" style="259" bestFit="1" customWidth="1"/>
    <col min="7433" max="7433" width="11.42578125" style="259"/>
    <col min="7434" max="7434" width="15.42578125" style="259" bestFit="1" customWidth="1"/>
    <col min="7435" max="7673" width="11.42578125" style="259"/>
    <col min="7674" max="7674" width="21.85546875" style="259" customWidth="1"/>
    <col min="7675" max="7680" width="0" style="259" hidden="1" customWidth="1"/>
    <col min="7681" max="7681" width="13.85546875" style="259" customWidth="1"/>
    <col min="7682" max="7682" width="11.42578125" style="259"/>
    <col min="7683" max="7683" width="0" style="259" hidden="1" customWidth="1"/>
    <col min="7684" max="7685" width="11.42578125" style="259"/>
    <col min="7686" max="7686" width="12.42578125" style="259" bestFit="1" customWidth="1"/>
    <col min="7687" max="7687" width="9.140625" style="259" bestFit="1" customWidth="1"/>
    <col min="7688" max="7688" width="11" style="259" bestFit="1" customWidth="1"/>
    <col min="7689" max="7689" width="11.42578125" style="259"/>
    <col min="7690" max="7690" width="15.42578125" style="259" bestFit="1" customWidth="1"/>
    <col min="7691" max="7929" width="11.42578125" style="259"/>
    <col min="7930" max="7930" width="21.85546875" style="259" customWidth="1"/>
    <col min="7931" max="7936" width="0" style="259" hidden="1" customWidth="1"/>
    <col min="7937" max="7937" width="13.85546875" style="259" customWidth="1"/>
    <col min="7938" max="7938" width="11.42578125" style="259"/>
    <col min="7939" max="7939" width="0" style="259" hidden="1" customWidth="1"/>
    <col min="7940" max="7941" width="11.42578125" style="259"/>
    <col min="7942" max="7942" width="12.42578125" style="259" bestFit="1" customWidth="1"/>
    <col min="7943" max="7943" width="9.140625" style="259" bestFit="1" customWidth="1"/>
    <col min="7944" max="7944" width="11" style="259" bestFit="1" customWidth="1"/>
    <col min="7945" max="7945" width="11.42578125" style="259"/>
    <col min="7946" max="7946" width="15.42578125" style="259" bestFit="1" customWidth="1"/>
    <col min="7947" max="8185" width="11.42578125" style="259"/>
    <col min="8186" max="8186" width="21.85546875" style="259" customWidth="1"/>
    <col min="8187" max="8192" width="0" style="259" hidden="1" customWidth="1"/>
    <col min="8193" max="8193" width="13.85546875" style="259" customWidth="1"/>
    <col min="8194" max="8194" width="11.42578125" style="259"/>
    <col min="8195" max="8195" width="0" style="259" hidden="1" customWidth="1"/>
    <col min="8196" max="8197" width="11.42578125" style="259"/>
    <col min="8198" max="8198" width="12.42578125" style="259" bestFit="1" customWidth="1"/>
    <col min="8199" max="8199" width="9.140625" style="259" bestFit="1" customWidth="1"/>
    <col min="8200" max="8200" width="11" style="259" bestFit="1" customWidth="1"/>
    <col min="8201" max="8201" width="11.42578125" style="259"/>
    <col min="8202" max="8202" width="15.42578125" style="259" bestFit="1" customWidth="1"/>
    <col min="8203" max="8441" width="11.42578125" style="259"/>
    <col min="8442" max="8442" width="21.85546875" style="259" customWidth="1"/>
    <col min="8443" max="8448" width="0" style="259" hidden="1" customWidth="1"/>
    <col min="8449" max="8449" width="13.85546875" style="259" customWidth="1"/>
    <col min="8450" max="8450" width="11.42578125" style="259"/>
    <col min="8451" max="8451" width="0" style="259" hidden="1" customWidth="1"/>
    <col min="8452" max="8453" width="11.42578125" style="259"/>
    <col min="8454" max="8454" width="12.42578125" style="259" bestFit="1" customWidth="1"/>
    <col min="8455" max="8455" width="9.140625" style="259" bestFit="1" customWidth="1"/>
    <col min="8456" max="8456" width="11" style="259" bestFit="1" customWidth="1"/>
    <col min="8457" max="8457" width="11.42578125" style="259"/>
    <col min="8458" max="8458" width="15.42578125" style="259" bestFit="1" customWidth="1"/>
    <col min="8459" max="8697" width="11.42578125" style="259"/>
    <col min="8698" max="8698" width="21.85546875" style="259" customWidth="1"/>
    <col min="8699" max="8704" width="0" style="259" hidden="1" customWidth="1"/>
    <col min="8705" max="8705" width="13.85546875" style="259" customWidth="1"/>
    <col min="8706" max="8706" width="11.42578125" style="259"/>
    <col min="8707" max="8707" width="0" style="259" hidden="1" customWidth="1"/>
    <col min="8708" max="8709" width="11.42578125" style="259"/>
    <col min="8710" max="8710" width="12.42578125" style="259" bestFit="1" customWidth="1"/>
    <col min="8711" max="8711" width="9.140625" style="259" bestFit="1" customWidth="1"/>
    <col min="8712" max="8712" width="11" style="259" bestFit="1" customWidth="1"/>
    <col min="8713" max="8713" width="11.42578125" style="259"/>
    <col min="8714" max="8714" width="15.42578125" style="259" bestFit="1" customWidth="1"/>
    <col min="8715" max="8953" width="11.42578125" style="259"/>
    <col min="8954" max="8954" width="21.85546875" style="259" customWidth="1"/>
    <col min="8955" max="8960" width="0" style="259" hidden="1" customWidth="1"/>
    <col min="8961" max="8961" width="13.85546875" style="259" customWidth="1"/>
    <col min="8962" max="8962" width="11.42578125" style="259"/>
    <col min="8963" max="8963" width="0" style="259" hidden="1" customWidth="1"/>
    <col min="8964" max="8965" width="11.42578125" style="259"/>
    <col min="8966" max="8966" width="12.42578125" style="259" bestFit="1" customWidth="1"/>
    <col min="8967" max="8967" width="9.140625" style="259" bestFit="1" customWidth="1"/>
    <col min="8968" max="8968" width="11" style="259" bestFit="1" customWidth="1"/>
    <col min="8969" max="8969" width="11.42578125" style="259"/>
    <col min="8970" max="8970" width="15.42578125" style="259" bestFit="1" customWidth="1"/>
    <col min="8971" max="9209" width="11.42578125" style="259"/>
    <col min="9210" max="9210" width="21.85546875" style="259" customWidth="1"/>
    <col min="9211" max="9216" width="0" style="259" hidden="1" customWidth="1"/>
    <col min="9217" max="9217" width="13.85546875" style="259" customWidth="1"/>
    <col min="9218" max="9218" width="11.42578125" style="259"/>
    <col min="9219" max="9219" width="0" style="259" hidden="1" customWidth="1"/>
    <col min="9220" max="9221" width="11.42578125" style="259"/>
    <col min="9222" max="9222" width="12.42578125" style="259" bestFit="1" customWidth="1"/>
    <col min="9223" max="9223" width="9.140625" style="259" bestFit="1" customWidth="1"/>
    <col min="9224" max="9224" width="11" style="259" bestFit="1" customWidth="1"/>
    <col min="9225" max="9225" width="11.42578125" style="259"/>
    <col min="9226" max="9226" width="15.42578125" style="259" bestFit="1" customWidth="1"/>
    <col min="9227" max="9465" width="11.42578125" style="259"/>
    <col min="9466" max="9466" width="21.85546875" style="259" customWidth="1"/>
    <col min="9467" max="9472" width="0" style="259" hidden="1" customWidth="1"/>
    <col min="9473" max="9473" width="13.85546875" style="259" customWidth="1"/>
    <col min="9474" max="9474" width="11.42578125" style="259"/>
    <col min="9475" max="9475" width="0" style="259" hidden="1" customWidth="1"/>
    <col min="9476" max="9477" width="11.42578125" style="259"/>
    <col min="9478" max="9478" width="12.42578125" style="259" bestFit="1" customWidth="1"/>
    <col min="9479" max="9479" width="9.140625" style="259" bestFit="1" customWidth="1"/>
    <col min="9480" max="9480" width="11" style="259" bestFit="1" customWidth="1"/>
    <col min="9481" max="9481" width="11.42578125" style="259"/>
    <col min="9482" max="9482" width="15.42578125" style="259" bestFit="1" customWidth="1"/>
    <col min="9483" max="9721" width="11.42578125" style="259"/>
    <col min="9722" max="9722" width="21.85546875" style="259" customWidth="1"/>
    <col min="9723" max="9728" width="0" style="259" hidden="1" customWidth="1"/>
    <col min="9729" max="9729" width="13.85546875" style="259" customWidth="1"/>
    <col min="9730" max="9730" width="11.42578125" style="259"/>
    <col min="9731" max="9731" width="0" style="259" hidden="1" customWidth="1"/>
    <col min="9732" max="9733" width="11.42578125" style="259"/>
    <col min="9734" max="9734" width="12.42578125" style="259" bestFit="1" customWidth="1"/>
    <col min="9735" max="9735" width="9.140625" style="259" bestFit="1" customWidth="1"/>
    <col min="9736" max="9736" width="11" style="259" bestFit="1" customWidth="1"/>
    <col min="9737" max="9737" width="11.42578125" style="259"/>
    <col min="9738" max="9738" width="15.42578125" style="259" bestFit="1" customWidth="1"/>
    <col min="9739" max="9977" width="11.42578125" style="259"/>
    <col min="9978" max="9978" width="21.85546875" style="259" customWidth="1"/>
    <col min="9979" max="9984" width="0" style="259" hidden="1" customWidth="1"/>
    <col min="9985" max="9985" width="13.85546875" style="259" customWidth="1"/>
    <col min="9986" max="9986" width="11.42578125" style="259"/>
    <col min="9987" max="9987" width="0" style="259" hidden="1" customWidth="1"/>
    <col min="9988" max="9989" width="11.42578125" style="259"/>
    <col min="9990" max="9990" width="12.42578125" style="259" bestFit="1" customWidth="1"/>
    <col min="9991" max="9991" width="9.140625" style="259" bestFit="1" customWidth="1"/>
    <col min="9992" max="9992" width="11" style="259" bestFit="1" customWidth="1"/>
    <col min="9993" max="9993" width="11.42578125" style="259"/>
    <col min="9994" max="9994" width="15.42578125" style="259" bestFit="1" customWidth="1"/>
    <col min="9995" max="10233" width="11.42578125" style="259"/>
    <col min="10234" max="10234" width="21.85546875" style="259" customWidth="1"/>
    <col min="10235" max="10240" width="0" style="259" hidden="1" customWidth="1"/>
    <col min="10241" max="10241" width="13.85546875" style="259" customWidth="1"/>
    <col min="10242" max="10242" width="11.42578125" style="259"/>
    <col min="10243" max="10243" width="0" style="259" hidden="1" customWidth="1"/>
    <col min="10244" max="10245" width="11.42578125" style="259"/>
    <col min="10246" max="10246" width="12.42578125" style="259" bestFit="1" customWidth="1"/>
    <col min="10247" max="10247" width="9.140625" style="259" bestFit="1" customWidth="1"/>
    <col min="10248" max="10248" width="11" style="259" bestFit="1" customWidth="1"/>
    <col min="10249" max="10249" width="11.42578125" style="259"/>
    <col min="10250" max="10250" width="15.42578125" style="259" bestFit="1" customWidth="1"/>
    <col min="10251" max="10489" width="11.42578125" style="259"/>
    <col min="10490" max="10490" width="21.85546875" style="259" customWidth="1"/>
    <col min="10491" max="10496" width="0" style="259" hidden="1" customWidth="1"/>
    <col min="10497" max="10497" width="13.85546875" style="259" customWidth="1"/>
    <col min="10498" max="10498" width="11.42578125" style="259"/>
    <col min="10499" max="10499" width="0" style="259" hidden="1" customWidth="1"/>
    <col min="10500" max="10501" width="11.42578125" style="259"/>
    <col min="10502" max="10502" width="12.42578125" style="259" bestFit="1" customWidth="1"/>
    <col min="10503" max="10503" width="9.140625" style="259" bestFit="1" customWidth="1"/>
    <col min="10504" max="10504" width="11" style="259" bestFit="1" customWidth="1"/>
    <col min="10505" max="10505" width="11.42578125" style="259"/>
    <col min="10506" max="10506" width="15.42578125" style="259" bestFit="1" customWidth="1"/>
    <col min="10507" max="10745" width="11.42578125" style="259"/>
    <col min="10746" max="10746" width="21.85546875" style="259" customWidth="1"/>
    <col min="10747" max="10752" width="0" style="259" hidden="1" customWidth="1"/>
    <col min="10753" max="10753" width="13.85546875" style="259" customWidth="1"/>
    <col min="10754" max="10754" width="11.42578125" style="259"/>
    <col min="10755" max="10755" width="0" style="259" hidden="1" customWidth="1"/>
    <col min="10756" max="10757" width="11.42578125" style="259"/>
    <col min="10758" max="10758" width="12.42578125" style="259" bestFit="1" customWidth="1"/>
    <col min="10759" max="10759" width="9.140625" style="259" bestFit="1" customWidth="1"/>
    <col min="10760" max="10760" width="11" style="259" bestFit="1" customWidth="1"/>
    <col min="10761" max="10761" width="11.42578125" style="259"/>
    <col min="10762" max="10762" width="15.42578125" style="259" bestFit="1" customWidth="1"/>
    <col min="10763" max="11001" width="11.42578125" style="259"/>
    <col min="11002" max="11002" width="21.85546875" style="259" customWidth="1"/>
    <col min="11003" max="11008" width="0" style="259" hidden="1" customWidth="1"/>
    <col min="11009" max="11009" width="13.85546875" style="259" customWidth="1"/>
    <col min="11010" max="11010" width="11.42578125" style="259"/>
    <col min="11011" max="11011" width="0" style="259" hidden="1" customWidth="1"/>
    <col min="11012" max="11013" width="11.42578125" style="259"/>
    <col min="11014" max="11014" width="12.42578125" style="259" bestFit="1" customWidth="1"/>
    <col min="11015" max="11015" width="9.140625" style="259" bestFit="1" customWidth="1"/>
    <col min="11016" max="11016" width="11" style="259" bestFit="1" customWidth="1"/>
    <col min="11017" max="11017" width="11.42578125" style="259"/>
    <col min="11018" max="11018" width="15.42578125" style="259" bestFit="1" customWidth="1"/>
    <col min="11019" max="11257" width="11.42578125" style="259"/>
    <col min="11258" max="11258" width="21.85546875" style="259" customWidth="1"/>
    <col min="11259" max="11264" width="0" style="259" hidden="1" customWidth="1"/>
    <col min="11265" max="11265" width="13.85546875" style="259" customWidth="1"/>
    <col min="11266" max="11266" width="11.42578125" style="259"/>
    <col min="11267" max="11267" width="0" style="259" hidden="1" customWidth="1"/>
    <col min="11268" max="11269" width="11.42578125" style="259"/>
    <col min="11270" max="11270" width="12.42578125" style="259" bestFit="1" customWidth="1"/>
    <col min="11271" max="11271" width="9.140625" style="259" bestFit="1" customWidth="1"/>
    <col min="11272" max="11272" width="11" style="259" bestFit="1" customWidth="1"/>
    <col min="11273" max="11273" width="11.42578125" style="259"/>
    <col min="11274" max="11274" width="15.42578125" style="259" bestFit="1" customWidth="1"/>
    <col min="11275" max="11513" width="11.42578125" style="259"/>
    <col min="11514" max="11514" width="21.85546875" style="259" customWidth="1"/>
    <col min="11515" max="11520" width="0" style="259" hidden="1" customWidth="1"/>
    <col min="11521" max="11521" width="13.85546875" style="259" customWidth="1"/>
    <col min="11522" max="11522" width="11.42578125" style="259"/>
    <col min="11523" max="11523" width="0" style="259" hidden="1" customWidth="1"/>
    <col min="11524" max="11525" width="11.42578125" style="259"/>
    <col min="11526" max="11526" width="12.42578125" style="259" bestFit="1" customWidth="1"/>
    <col min="11527" max="11527" width="9.140625" style="259" bestFit="1" customWidth="1"/>
    <col min="11528" max="11528" width="11" style="259" bestFit="1" customWidth="1"/>
    <col min="11529" max="11529" width="11.42578125" style="259"/>
    <col min="11530" max="11530" width="15.42578125" style="259" bestFit="1" customWidth="1"/>
    <col min="11531" max="11769" width="11.42578125" style="259"/>
    <col min="11770" max="11770" width="21.85546875" style="259" customWidth="1"/>
    <col min="11771" max="11776" width="0" style="259" hidden="1" customWidth="1"/>
    <col min="11777" max="11777" width="13.85546875" style="259" customWidth="1"/>
    <col min="11778" max="11778" width="11.42578125" style="259"/>
    <col min="11779" max="11779" width="0" style="259" hidden="1" customWidth="1"/>
    <col min="11780" max="11781" width="11.42578125" style="259"/>
    <col min="11782" max="11782" width="12.42578125" style="259" bestFit="1" customWidth="1"/>
    <col min="11783" max="11783" width="9.140625" style="259" bestFit="1" customWidth="1"/>
    <col min="11784" max="11784" width="11" style="259" bestFit="1" customWidth="1"/>
    <col min="11785" max="11785" width="11.42578125" style="259"/>
    <col min="11786" max="11786" width="15.42578125" style="259" bestFit="1" customWidth="1"/>
    <col min="11787" max="12025" width="11.42578125" style="259"/>
    <col min="12026" max="12026" width="21.85546875" style="259" customWidth="1"/>
    <col min="12027" max="12032" width="0" style="259" hidden="1" customWidth="1"/>
    <col min="12033" max="12033" width="13.85546875" style="259" customWidth="1"/>
    <col min="12034" max="12034" width="11.42578125" style="259"/>
    <col min="12035" max="12035" width="0" style="259" hidden="1" customWidth="1"/>
    <col min="12036" max="12037" width="11.42578125" style="259"/>
    <col min="12038" max="12038" width="12.42578125" style="259" bestFit="1" customWidth="1"/>
    <col min="12039" max="12039" width="9.140625" style="259" bestFit="1" customWidth="1"/>
    <col min="12040" max="12040" width="11" style="259" bestFit="1" customWidth="1"/>
    <col min="12041" max="12041" width="11.42578125" style="259"/>
    <col min="12042" max="12042" width="15.42578125" style="259" bestFit="1" customWidth="1"/>
    <col min="12043" max="12281" width="11.42578125" style="259"/>
    <col min="12282" max="12282" width="21.85546875" style="259" customWidth="1"/>
    <col min="12283" max="12288" width="0" style="259" hidden="1" customWidth="1"/>
    <col min="12289" max="12289" width="13.85546875" style="259" customWidth="1"/>
    <col min="12290" max="12290" width="11.42578125" style="259"/>
    <col min="12291" max="12291" width="0" style="259" hidden="1" customWidth="1"/>
    <col min="12292" max="12293" width="11.42578125" style="259"/>
    <col min="12294" max="12294" width="12.42578125" style="259" bestFit="1" customWidth="1"/>
    <col min="12295" max="12295" width="9.140625" style="259" bestFit="1" customWidth="1"/>
    <col min="12296" max="12296" width="11" style="259" bestFit="1" customWidth="1"/>
    <col min="12297" max="12297" width="11.42578125" style="259"/>
    <col min="12298" max="12298" width="15.42578125" style="259" bestFit="1" customWidth="1"/>
    <col min="12299" max="12537" width="11.42578125" style="259"/>
    <col min="12538" max="12538" width="21.85546875" style="259" customWidth="1"/>
    <col min="12539" max="12544" width="0" style="259" hidden="1" customWidth="1"/>
    <col min="12545" max="12545" width="13.85546875" style="259" customWidth="1"/>
    <col min="12546" max="12546" width="11.42578125" style="259"/>
    <col min="12547" max="12547" width="0" style="259" hidden="1" customWidth="1"/>
    <col min="12548" max="12549" width="11.42578125" style="259"/>
    <col min="12550" max="12550" width="12.42578125" style="259" bestFit="1" customWidth="1"/>
    <col min="12551" max="12551" width="9.140625" style="259" bestFit="1" customWidth="1"/>
    <col min="12552" max="12552" width="11" style="259" bestFit="1" customWidth="1"/>
    <col min="12553" max="12553" width="11.42578125" style="259"/>
    <col min="12554" max="12554" width="15.42578125" style="259" bestFit="1" customWidth="1"/>
    <col min="12555" max="12793" width="11.42578125" style="259"/>
    <col min="12794" max="12794" width="21.85546875" style="259" customWidth="1"/>
    <col min="12795" max="12800" width="0" style="259" hidden="1" customWidth="1"/>
    <col min="12801" max="12801" width="13.85546875" style="259" customWidth="1"/>
    <col min="12802" max="12802" width="11.42578125" style="259"/>
    <col min="12803" max="12803" width="0" style="259" hidden="1" customWidth="1"/>
    <col min="12804" max="12805" width="11.42578125" style="259"/>
    <col min="12806" max="12806" width="12.42578125" style="259" bestFit="1" customWidth="1"/>
    <col min="12807" max="12807" width="9.140625" style="259" bestFit="1" customWidth="1"/>
    <col min="12808" max="12808" width="11" style="259" bestFit="1" customWidth="1"/>
    <col min="12809" max="12809" width="11.42578125" style="259"/>
    <col min="12810" max="12810" width="15.42578125" style="259" bestFit="1" customWidth="1"/>
    <col min="12811" max="13049" width="11.42578125" style="259"/>
    <col min="13050" max="13050" width="21.85546875" style="259" customWidth="1"/>
    <col min="13051" max="13056" width="0" style="259" hidden="1" customWidth="1"/>
    <col min="13057" max="13057" width="13.85546875" style="259" customWidth="1"/>
    <col min="13058" max="13058" width="11.42578125" style="259"/>
    <col min="13059" max="13059" width="0" style="259" hidden="1" customWidth="1"/>
    <col min="13060" max="13061" width="11.42578125" style="259"/>
    <col min="13062" max="13062" width="12.42578125" style="259" bestFit="1" customWidth="1"/>
    <col min="13063" max="13063" width="9.140625" style="259" bestFit="1" customWidth="1"/>
    <col min="13064" max="13064" width="11" style="259" bestFit="1" customWidth="1"/>
    <col min="13065" max="13065" width="11.42578125" style="259"/>
    <col min="13066" max="13066" width="15.42578125" style="259" bestFit="1" customWidth="1"/>
    <col min="13067" max="13305" width="11.42578125" style="259"/>
    <col min="13306" max="13306" width="21.85546875" style="259" customWidth="1"/>
    <col min="13307" max="13312" width="0" style="259" hidden="1" customWidth="1"/>
    <col min="13313" max="13313" width="13.85546875" style="259" customWidth="1"/>
    <col min="13314" max="13314" width="11.42578125" style="259"/>
    <col min="13315" max="13315" width="0" style="259" hidden="1" customWidth="1"/>
    <col min="13316" max="13317" width="11.42578125" style="259"/>
    <col min="13318" max="13318" width="12.42578125" style="259" bestFit="1" customWidth="1"/>
    <col min="13319" max="13319" width="9.140625" style="259" bestFit="1" customWidth="1"/>
    <col min="13320" max="13320" width="11" style="259" bestFit="1" customWidth="1"/>
    <col min="13321" max="13321" width="11.42578125" style="259"/>
    <col min="13322" max="13322" width="15.42578125" style="259" bestFit="1" customWidth="1"/>
    <col min="13323" max="13561" width="11.42578125" style="259"/>
    <col min="13562" max="13562" width="21.85546875" style="259" customWidth="1"/>
    <col min="13563" max="13568" width="0" style="259" hidden="1" customWidth="1"/>
    <col min="13569" max="13569" width="13.85546875" style="259" customWidth="1"/>
    <col min="13570" max="13570" width="11.42578125" style="259"/>
    <col min="13571" max="13571" width="0" style="259" hidden="1" customWidth="1"/>
    <col min="13572" max="13573" width="11.42578125" style="259"/>
    <col min="13574" max="13574" width="12.42578125" style="259" bestFit="1" customWidth="1"/>
    <col min="13575" max="13575" width="9.140625" style="259" bestFit="1" customWidth="1"/>
    <col min="13576" max="13576" width="11" style="259" bestFit="1" customWidth="1"/>
    <col min="13577" max="13577" width="11.42578125" style="259"/>
    <col min="13578" max="13578" width="15.42578125" style="259" bestFit="1" customWidth="1"/>
    <col min="13579" max="13817" width="11.42578125" style="259"/>
    <col min="13818" max="13818" width="21.85546875" style="259" customWidth="1"/>
    <col min="13819" max="13824" width="0" style="259" hidden="1" customWidth="1"/>
    <col min="13825" max="13825" width="13.85546875" style="259" customWidth="1"/>
    <col min="13826" max="13826" width="11.42578125" style="259"/>
    <col min="13827" max="13827" width="0" style="259" hidden="1" customWidth="1"/>
    <col min="13828" max="13829" width="11.42578125" style="259"/>
    <col min="13830" max="13830" width="12.42578125" style="259" bestFit="1" customWidth="1"/>
    <col min="13831" max="13831" width="9.140625" style="259" bestFit="1" customWidth="1"/>
    <col min="13832" max="13832" width="11" style="259" bestFit="1" customWidth="1"/>
    <col min="13833" max="13833" width="11.42578125" style="259"/>
    <col min="13834" max="13834" width="15.42578125" style="259" bestFit="1" customWidth="1"/>
    <col min="13835" max="14073" width="11.42578125" style="259"/>
    <col min="14074" max="14074" width="21.85546875" style="259" customWidth="1"/>
    <col min="14075" max="14080" width="0" style="259" hidden="1" customWidth="1"/>
    <col min="14081" max="14081" width="13.85546875" style="259" customWidth="1"/>
    <col min="14082" max="14082" width="11.42578125" style="259"/>
    <col min="14083" max="14083" width="0" style="259" hidden="1" customWidth="1"/>
    <col min="14084" max="14085" width="11.42578125" style="259"/>
    <col min="14086" max="14086" width="12.42578125" style="259" bestFit="1" customWidth="1"/>
    <col min="14087" max="14087" width="9.140625" style="259" bestFit="1" customWidth="1"/>
    <col min="14088" max="14088" width="11" style="259" bestFit="1" customWidth="1"/>
    <col min="14089" max="14089" width="11.42578125" style="259"/>
    <col min="14090" max="14090" width="15.42578125" style="259" bestFit="1" customWidth="1"/>
    <col min="14091" max="14329" width="11.42578125" style="259"/>
    <col min="14330" max="14330" width="21.85546875" style="259" customWidth="1"/>
    <col min="14331" max="14336" width="0" style="259" hidden="1" customWidth="1"/>
    <col min="14337" max="14337" width="13.85546875" style="259" customWidth="1"/>
    <col min="14338" max="14338" width="11.42578125" style="259"/>
    <col min="14339" max="14339" width="0" style="259" hidden="1" customWidth="1"/>
    <col min="14340" max="14341" width="11.42578125" style="259"/>
    <col min="14342" max="14342" width="12.42578125" style="259" bestFit="1" customWidth="1"/>
    <col min="14343" max="14343" width="9.140625" style="259" bestFit="1" customWidth="1"/>
    <col min="14344" max="14344" width="11" style="259" bestFit="1" customWidth="1"/>
    <col min="14345" max="14345" width="11.42578125" style="259"/>
    <col min="14346" max="14346" width="15.42578125" style="259" bestFit="1" customWidth="1"/>
    <col min="14347" max="14585" width="11.42578125" style="259"/>
    <col min="14586" max="14586" width="21.85546875" style="259" customWidth="1"/>
    <col min="14587" max="14592" width="0" style="259" hidden="1" customWidth="1"/>
    <col min="14593" max="14593" width="13.85546875" style="259" customWidth="1"/>
    <col min="14594" max="14594" width="11.42578125" style="259"/>
    <col min="14595" max="14595" width="0" style="259" hidden="1" customWidth="1"/>
    <col min="14596" max="14597" width="11.42578125" style="259"/>
    <col min="14598" max="14598" width="12.42578125" style="259" bestFit="1" customWidth="1"/>
    <col min="14599" max="14599" width="9.140625" style="259" bestFit="1" customWidth="1"/>
    <col min="14600" max="14600" width="11" style="259" bestFit="1" customWidth="1"/>
    <col min="14601" max="14601" width="11.42578125" style="259"/>
    <col min="14602" max="14602" width="15.42578125" style="259" bestFit="1" customWidth="1"/>
    <col min="14603" max="14841" width="11.42578125" style="259"/>
    <col min="14842" max="14842" width="21.85546875" style="259" customWidth="1"/>
    <col min="14843" max="14848" width="0" style="259" hidden="1" customWidth="1"/>
    <col min="14849" max="14849" width="13.85546875" style="259" customWidth="1"/>
    <col min="14850" max="14850" width="11.42578125" style="259"/>
    <col min="14851" max="14851" width="0" style="259" hidden="1" customWidth="1"/>
    <col min="14852" max="14853" width="11.42578125" style="259"/>
    <col min="14854" max="14854" width="12.42578125" style="259" bestFit="1" customWidth="1"/>
    <col min="14855" max="14855" width="9.140625" style="259" bestFit="1" customWidth="1"/>
    <col min="14856" max="14856" width="11" style="259" bestFit="1" customWidth="1"/>
    <col min="14857" max="14857" width="11.42578125" style="259"/>
    <col min="14858" max="14858" width="15.42578125" style="259" bestFit="1" customWidth="1"/>
    <col min="14859" max="15097" width="11.42578125" style="259"/>
    <col min="15098" max="15098" width="21.85546875" style="259" customWidth="1"/>
    <col min="15099" max="15104" width="0" style="259" hidden="1" customWidth="1"/>
    <col min="15105" max="15105" width="13.85546875" style="259" customWidth="1"/>
    <col min="15106" max="15106" width="11.42578125" style="259"/>
    <col min="15107" max="15107" width="0" style="259" hidden="1" customWidth="1"/>
    <col min="15108" max="15109" width="11.42578125" style="259"/>
    <col min="15110" max="15110" width="12.42578125" style="259" bestFit="1" customWidth="1"/>
    <col min="15111" max="15111" width="9.140625" style="259" bestFit="1" customWidth="1"/>
    <col min="15112" max="15112" width="11" style="259" bestFit="1" customWidth="1"/>
    <col min="15113" max="15113" width="11.42578125" style="259"/>
    <col min="15114" max="15114" width="15.42578125" style="259" bestFit="1" customWidth="1"/>
    <col min="15115" max="15353" width="11.42578125" style="259"/>
    <col min="15354" max="15354" width="21.85546875" style="259" customWidth="1"/>
    <col min="15355" max="15360" width="0" style="259" hidden="1" customWidth="1"/>
    <col min="15361" max="15361" width="13.85546875" style="259" customWidth="1"/>
    <col min="15362" max="15362" width="11.42578125" style="259"/>
    <col min="15363" max="15363" width="0" style="259" hidden="1" customWidth="1"/>
    <col min="15364" max="15365" width="11.42578125" style="259"/>
    <col min="15366" max="15366" width="12.42578125" style="259" bestFit="1" customWidth="1"/>
    <col min="15367" max="15367" width="9.140625" style="259" bestFit="1" customWidth="1"/>
    <col min="15368" max="15368" width="11" style="259" bestFit="1" customWidth="1"/>
    <col min="15369" max="15369" width="11.42578125" style="259"/>
    <col min="15370" max="15370" width="15.42578125" style="259" bestFit="1" customWidth="1"/>
    <col min="15371" max="15609" width="11.42578125" style="259"/>
    <col min="15610" max="15610" width="21.85546875" style="259" customWidth="1"/>
    <col min="15611" max="15616" width="0" style="259" hidden="1" customWidth="1"/>
    <col min="15617" max="15617" width="13.85546875" style="259" customWidth="1"/>
    <col min="15618" max="15618" width="11.42578125" style="259"/>
    <col min="15619" max="15619" width="0" style="259" hidden="1" customWidth="1"/>
    <col min="15620" max="15621" width="11.42578125" style="259"/>
    <col min="15622" max="15622" width="12.42578125" style="259" bestFit="1" customWidth="1"/>
    <col min="15623" max="15623" width="9.140625" style="259" bestFit="1" customWidth="1"/>
    <col min="15624" max="15624" width="11" style="259" bestFit="1" customWidth="1"/>
    <col min="15625" max="15625" width="11.42578125" style="259"/>
    <col min="15626" max="15626" width="15.42578125" style="259" bestFit="1" customWidth="1"/>
    <col min="15627" max="15865" width="11.42578125" style="259"/>
    <col min="15866" max="15866" width="21.85546875" style="259" customWidth="1"/>
    <col min="15867" max="15872" width="0" style="259" hidden="1" customWidth="1"/>
    <col min="15873" max="15873" width="13.85546875" style="259" customWidth="1"/>
    <col min="15874" max="15874" width="11.42578125" style="259"/>
    <col min="15875" max="15875" width="0" style="259" hidden="1" customWidth="1"/>
    <col min="15876" max="15877" width="11.42578125" style="259"/>
    <col min="15878" max="15878" width="12.42578125" style="259" bestFit="1" customWidth="1"/>
    <col min="15879" max="15879" width="9.140625" style="259" bestFit="1" customWidth="1"/>
    <col min="15880" max="15880" width="11" style="259" bestFit="1" customWidth="1"/>
    <col min="15881" max="15881" width="11.42578125" style="259"/>
    <col min="15882" max="15882" width="15.42578125" style="259" bestFit="1" customWidth="1"/>
    <col min="15883" max="16121" width="11.42578125" style="259"/>
    <col min="16122" max="16122" width="21.85546875" style="259" customWidth="1"/>
    <col min="16123" max="16128" width="0" style="259" hidden="1" customWidth="1"/>
    <col min="16129" max="16129" width="13.85546875" style="259" customWidth="1"/>
    <col min="16130" max="16130" width="11.42578125" style="259"/>
    <col min="16131" max="16131" width="0" style="259" hidden="1" customWidth="1"/>
    <col min="16132" max="16133" width="11.42578125" style="259"/>
    <col min="16134" max="16134" width="12.42578125" style="259" bestFit="1" customWidth="1"/>
    <col min="16135" max="16135" width="9.140625" style="259" bestFit="1" customWidth="1"/>
    <col min="16136" max="16136" width="11" style="259" bestFit="1" customWidth="1"/>
    <col min="16137" max="16137" width="11.42578125" style="259"/>
    <col min="16138" max="16138" width="15.42578125" style="259" bestFit="1" customWidth="1"/>
    <col min="16139" max="16383" width="11.42578125" style="259"/>
    <col min="16384" max="16384" width="11.42578125" style="259" customWidth="1"/>
  </cols>
  <sheetData>
    <row r="1" spans="1:6" x14ac:dyDescent="0.2">
      <c r="A1" s="354" t="s">
        <v>105</v>
      </c>
      <c r="B1" s="273"/>
      <c r="C1" s="273"/>
      <c r="D1" s="262"/>
      <c r="E1" s="262"/>
      <c r="F1" s="262"/>
    </row>
    <row r="2" spans="1:6" x14ac:dyDescent="0.2">
      <c r="A2" s="354"/>
      <c r="B2" s="357">
        <v>2018</v>
      </c>
      <c r="C2" s="357">
        <v>2019</v>
      </c>
      <c r="D2" s="357">
        <v>2020</v>
      </c>
      <c r="E2" s="357">
        <v>2021</v>
      </c>
      <c r="F2" s="357">
        <v>2022</v>
      </c>
    </row>
    <row r="3" spans="1:6" x14ac:dyDescent="0.2">
      <c r="A3" s="358" t="s">
        <v>100</v>
      </c>
      <c r="B3" s="265">
        <v>28</v>
      </c>
      <c r="C3" s="265">
        <v>30</v>
      </c>
      <c r="D3" s="265">
        <f>BEaH20!M25</f>
        <v>30</v>
      </c>
      <c r="E3" s="265">
        <f>BEaH21!M25</f>
        <v>40</v>
      </c>
      <c r="F3" s="265">
        <f>BEaH22!M25</f>
        <v>48</v>
      </c>
    </row>
    <row r="4" spans="1:6" x14ac:dyDescent="0.2">
      <c r="A4" s="359" t="s">
        <v>121</v>
      </c>
      <c r="B4" s="265">
        <v>56</v>
      </c>
      <c r="C4" s="265">
        <v>68</v>
      </c>
      <c r="D4" s="265">
        <f>BEaH20!T25</f>
        <v>51</v>
      </c>
      <c r="E4" s="265">
        <f>BEaH21!T25</f>
        <v>69</v>
      </c>
      <c r="F4" s="265">
        <f>BEaH22!T25</f>
        <v>45</v>
      </c>
    </row>
    <row r="5" spans="1:6" x14ac:dyDescent="0.2">
      <c r="A5" s="359" t="s">
        <v>102</v>
      </c>
      <c r="B5" s="265">
        <v>34</v>
      </c>
      <c r="C5" s="265">
        <v>35</v>
      </c>
      <c r="D5" s="265">
        <f>BEaH20!AA25</f>
        <v>37</v>
      </c>
      <c r="E5" s="265">
        <f>BEaH21!AA25</f>
        <v>24</v>
      </c>
      <c r="F5" s="265">
        <f>BEaH22!AA25</f>
        <v>21</v>
      </c>
    </row>
  </sheetData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2"/>
  <dimension ref="B1:T10"/>
  <sheetViews>
    <sheetView topLeftCell="E1" workbookViewId="0">
      <selection activeCell="P6" sqref="P6"/>
    </sheetView>
  </sheetViews>
  <sheetFormatPr baseColWidth="10" defaultColWidth="11.42578125" defaultRowHeight="12.75" x14ac:dyDescent="0.2"/>
  <cols>
    <col min="1" max="2" width="11.42578125" style="259"/>
    <col min="3" max="4" width="0" style="259" hidden="1" customWidth="1"/>
    <col min="5" max="16384" width="11.42578125" style="259"/>
  </cols>
  <sheetData>
    <row r="1" spans="2:20" ht="13.5" thickBot="1" x14ac:dyDescent="0.25">
      <c r="D1" s="259" t="s">
        <v>106</v>
      </c>
      <c r="S1" s="580"/>
    </row>
    <row r="2" spans="2:20" x14ac:dyDescent="0.2">
      <c r="B2" s="437"/>
      <c r="C2" s="438">
        <v>2003</v>
      </c>
      <c r="D2" s="438">
        <v>2004</v>
      </c>
      <c r="E2" s="392">
        <v>2006</v>
      </c>
      <c r="F2" s="392">
        <v>2008</v>
      </c>
      <c r="G2" s="392">
        <v>2009</v>
      </c>
      <c r="H2" s="392">
        <v>2010</v>
      </c>
      <c r="I2" s="392">
        <v>2011</v>
      </c>
      <c r="J2" s="392">
        <v>2012</v>
      </c>
      <c r="K2" s="392">
        <v>2013</v>
      </c>
      <c r="L2" s="392">
        <v>2014</v>
      </c>
      <c r="M2" s="392">
        <v>2015</v>
      </c>
      <c r="N2" s="392">
        <v>2016</v>
      </c>
      <c r="O2" s="392">
        <v>2017</v>
      </c>
      <c r="P2" s="392">
        <v>2018</v>
      </c>
      <c r="Q2" s="457">
        <v>2019</v>
      </c>
      <c r="R2" s="457">
        <v>2020</v>
      </c>
      <c r="S2" s="439">
        <v>2021</v>
      </c>
      <c r="T2" s="439">
        <v>2022</v>
      </c>
    </row>
    <row r="3" spans="2:20" ht="13.5" thickBot="1" x14ac:dyDescent="0.25">
      <c r="B3" s="440" t="s">
        <v>93</v>
      </c>
      <c r="C3" s="353">
        <v>252102</v>
      </c>
      <c r="D3" s="353">
        <v>288226</v>
      </c>
      <c r="E3" s="441">
        <v>361226</v>
      </c>
      <c r="F3" s="442">
        <v>401068</v>
      </c>
      <c r="G3" s="442">
        <v>409699</v>
      </c>
      <c r="H3" s="352">
        <v>445502</v>
      </c>
      <c r="I3" s="352">
        <v>462124</v>
      </c>
      <c r="J3" s="352">
        <v>477127</v>
      </c>
      <c r="K3" s="352">
        <f>BEaH13!G37</f>
        <v>496366</v>
      </c>
      <c r="L3" s="352">
        <v>485056</v>
      </c>
      <c r="M3" s="441">
        <f>BEaH15!G37</f>
        <v>527811</v>
      </c>
      <c r="N3" s="441">
        <f>BEaH16!G37</f>
        <v>538500</v>
      </c>
      <c r="O3" s="441">
        <f>BEaH17!G37</f>
        <v>547956</v>
      </c>
      <c r="P3" s="441">
        <f>BEaH18!G37</f>
        <v>555048</v>
      </c>
      <c r="Q3" s="555">
        <f>BEaH19!G37</f>
        <v>545587</v>
      </c>
      <c r="R3" s="594">
        <f>BEaH20!G37</f>
        <v>565886</v>
      </c>
      <c r="S3" s="469">
        <f>BEaH21!G37</f>
        <v>600461</v>
      </c>
      <c r="T3" s="469">
        <f>BEaH22!G37</f>
        <v>590109</v>
      </c>
    </row>
    <row r="4" spans="2:20" x14ac:dyDescent="0.2">
      <c r="C4" s="356"/>
      <c r="D4" s="468"/>
      <c r="E4" s="435"/>
      <c r="F4" s="269"/>
      <c r="G4" s="269"/>
      <c r="H4" s="267"/>
      <c r="I4" s="268"/>
    </row>
    <row r="5" spans="2:20" x14ac:dyDescent="0.2">
      <c r="C5" s="265"/>
      <c r="D5" s="458"/>
      <c r="E5" s="435"/>
      <c r="F5" s="270"/>
      <c r="G5" s="270"/>
      <c r="H5" s="271"/>
      <c r="I5" s="268"/>
    </row>
    <row r="6" spans="2:20" x14ac:dyDescent="0.2">
      <c r="C6" s="265"/>
      <c r="D6" s="458"/>
      <c r="E6" s="435"/>
      <c r="F6" s="269"/>
      <c r="G6" s="270"/>
      <c r="H6" s="267"/>
      <c r="I6" s="268"/>
    </row>
    <row r="7" spans="2:20" x14ac:dyDescent="0.2">
      <c r="C7" s="265"/>
      <c r="D7" s="458"/>
      <c r="E7" s="435"/>
      <c r="F7" s="269"/>
      <c r="G7" s="270"/>
      <c r="H7" s="267"/>
      <c r="I7" s="268"/>
    </row>
    <row r="10" spans="2:20" x14ac:dyDescent="0.2">
      <c r="J10" s="259" t="s">
        <v>71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3"/>
  <dimension ref="A1:H105"/>
  <sheetViews>
    <sheetView topLeftCell="A2" zoomScaleNormal="100" workbookViewId="0">
      <selection activeCell="K30" sqref="K30"/>
    </sheetView>
  </sheetViews>
  <sheetFormatPr baseColWidth="10" defaultRowHeight="12.75" x14ac:dyDescent="0.2"/>
  <cols>
    <col min="1" max="1" width="15.42578125" style="259" customWidth="1"/>
    <col min="2" max="2" width="24.5703125" style="259" customWidth="1"/>
    <col min="3" max="3" width="15.140625" style="259" customWidth="1"/>
    <col min="4" max="248" width="11.42578125" style="259"/>
    <col min="249" max="249" width="15.42578125" style="259" customWidth="1"/>
    <col min="250" max="252" width="0" style="259" hidden="1" customWidth="1"/>
    <col min="253" max="253" width="24.5703125" style="259" customWidth="1"/>
    <col min="254" max="258" width="0" style="259" hidden="1" customWidth="1"/>
    <col min="259" max="504" width="11.42578125" style="259"/>
    <col min="505" max="505" width="15.42578125" style="259" customWidth="1"/>
    <col min="506" max="508" width="0" style="259" hidden="1" customWidth="1"/>
    <col min="509" max="509" width="24.5703125" style="259" customWidth="1"/>
    <col min="510" max="514" width="0" style="259" hidden="1" customWidth="1"/>
    <col min="515" max="760" width="11.42578125" style="259"/>
    <col min="761" max="761" width="15.42578125" style="259" customWidth="1"/>
    <col min="762" max="764" width="0" style="259" hidden="1" customWidth="1"/>
    <col min="765" max="765" width="24.5703125" style="259" customWidth="1"/>
    <col min="766" max="770" width="0" style="259" hidden="1" customWidth="1"/>
    <col min="771" max="1016" width="11.42578125" style="259"/>
    <col min="1017" max="1017" width="15.42578125" style="259" customWidth="1"/>
    <col min="1018" max="1020" width="0" style="259" hidden="1" customWidth="1"/>
    <col min="1021" max="1021" width="24.5703125" style="259" customWidth="1"/>
    <col min="1022" max="1026" width="0" style="259" hidden="1" customWidth="1"/>
    <col min="1027" max="1272" width="11.42578125" style="259"/>
    <col min="1273" max="1273" width="15.42578125" style="259" customWidth="1"/>
    <col min="1274" max="1276" width="0" style="259" hidden="1" customWidth="1"/>
    <col min="1277" max="1277" width="24.5703125" style="259" customWidth="1"/>
    <col min="1278" max="1282" width="0" style="259" hidden="1" customWidth="1"/>
    <col min="1283" max="1528" width="11.42578125" style="259"/>
    <col min="1529" max="1529" width="15.42578125" style="259" customWidth="1"/>
    <col min="1530" max="1532" width="0" style="259" hidden="1" customWidth="1"/>
    <col min="1533" max="1533" width="24.5703125" style="259" customWidth="1"/>
    <col min="1534" max="1538" width="0" style="259" hidden="1" customWidth="1"/>
    <col min="1539" max="1784" width="11.42578125" style="259"/>
    <col min="1785" max="1785" width="15.42578125" style="259" customWidth="1"/>
    <col min="1786" max="1788" width="0" style="259" hidden="1" customWidth="1"/>
    <col min="1789" max="1789" width="24.5703125" style="259" customWidth="1"/>
    <col min="1790" max="1794" width="0" style="259" hidden="1" customWidth="1"/>
    <col min="1795" max="2040" width="11.42578125" style="259"/>
    <col min="2041" max="2041" width="15.42578125" style="259" customWidth="1"/>
    <col min="2042" max="2044" width="0" style="259" hidden="1" customWidth="1"/>
    <col min="2045" max="2045" width="24.5703125" style="259" customWidth="1"/>
    <col min="2046" max="2050" width="0" style="259" hidden="1" customWidth="1"/>
    <col min="2051" max="2296" width="11.42578125" style="259"/>
    <col min="2297" max="2297" width="15.42578125" style="259" customWidth="1"/>
    <col min="2298" max="2300" width="0" style="259" hidden="1" customWidth="1"/>
    <col min="2301" max="2301" width="24.5703125" style="259" customWidth="1"/>
    <col min="2302" max="2306" width="0" style="259" hidden="1" customWidth="1"/>
    <col min="2307" max="2552" width="11.42578125" style="259"/>
    <col min="2553" max="2553" width="15.42578125" style="259" customWidth="1"/>
    <col min="2554" max="2556" width="0" style="259" hidden="1" customWidth="1"/>
    <col min="2557" max="2557" width="24.5703125" style="259" customWidth="1"/>
    <col min="2558" max="2562" width="0" style="259" hidden="1" customWidth="1"/>
    <col min="2563" max="2808" width="11.42578125" style="259"/>
    <col min="2809" max="2809" width="15.42578125" style="259" customWidth="1"/>
    <col min="2810" max="2812" width="0" style="259" hidden="1" customWidth="1"/>
    <col min="2813" max="2813" width="24.5703125" style="259" customWidth="1"/>
    <col min="2814" max="2818" width="0" style="259" hidden="1" customWidth="1"/>
    <col min="2819" max="3064" width="11.42578125" style="259"/>
    <col min="3065" max="3065" width="15.42578125" style="259" customWidth="1"/>
    <col min="3066" max="3068" width="0" style="259" hidden="1" customWidth="1"/>
    <col min="3069" max="3069" width="24.5703125" style="259" customWidth="1"/>
    <col min="3070" max="3074" width="0" style="259" hidden="1" customWidth="1"/>
    <col min="3075" max="3320" width="11.42578125" style="259"/>
    <col min="3321" max="3321" width="15.42578125" style="259" customWidth="1"/>
    <col min="3322" max="3324" width="0" style="259" hidden="1" customWidth="1"/>
    <col min="3325" max="3325" width="24.5703125" style="259" customWidth="1"/>
    <col min="3326" max="3330" width="0" style="259" hidden="1" customWidth="1"/>
    <col min="3331" max="3576" width="11.42578125" style="259"/>
    <col min="3577" max="3577" width="15.42578125" style="259" customWidth="1"/>
    <col min="3578" max="3580" width="0" style="259" hidden="1" customWidth="1"/>
    <col min="3581" max="3581" width="24.5703125" style="259" customWidth="1"/>
    <col min="3582" max="3586" width="0" style="259" hidden="1" customWidth="1"/>
    <col min="3587" max="3832" width="11.42578125" style="259"/>
    <col min="3833" max="3833" width="15.42578125" style="259" customWidth="1"/>
    <col min="3834" max="3836" width="0" style="259" hidden="1" customWidth="1"/>
    <col min="3837" max="3837" width="24.5703125" style="259" customWidth="1"/>
    <col min="3838" max="3842" width="0" style="259" hidden="1" customWidth="1"/>
    <col min="3843" max="4088" width="11.42578125" style="259"/>
    <col min="4089" max="4089" width="15.42578125" style="259" customWidth="1"/>
    <col min="4090" max="4092" width="0" style="259" hidden="1" customWidth="1"/>
    <col min="4093" max="4093" width="24.5703125" style="259" customWidth="1"/>
    <col min="4094" max="4098" width="0" style="259" hidden="1" customWidth="1"/>
    <col min="4099" max="4344" width="11.42578125" style="259"/>
    <col min="4345" max="4345" width="15.42578125" style="259" customWidth="1"/>
    <col min="4346" max="4348" width="0" style="259" hidden="1" customWidth="1"/>
    <col min="4349" max="4349" width="24.5703125" style="259" customWidth="1"/>
    <col min="4350" max="4354" width="0" style="259" hidden="1" customWidth="1"/>
    <col min="4355" max="4600" width="11.42578125" style="259"/>
    <col min="4601" max="4601" width="15.42578125" style="259" customWidth="1"/>
    <col min="4602" max="4604" width="0" style="259" hidden="1" customWidth="1"/>
    <col min="4605" max="4605" width="24.5703125" style="259" customWidth="1"/>
    <col min="4606" max="4610" width="0" style="259" hidden="1" customWidth="1"/>
    <col min="4611" max="4856" width="11.42578125" style="259"/>
    <col min="4857" max="4857" width="15.42578125" style="259" customWidth="1"/>
    <col min="4858" max="4860" width="0" style="259" hidden="1" customWidth="1"/>
    <col min="4861" max="4861" width="24.5703125" style="259" customWidth="1"/>
    <col min="4862" max="4866" width="0" style="259" hidden="1" customWidth="1"/>
    <col min="4867" max="5112" width="11.42578125" style="259"/>
    <col min="5113" max="5113" width="15.42578125" style="259" customWidth="1"/>
    <col min="5114" max="5116" width="0" style="259" hidden="1" customWidth="1"/>
    <col min="5117" max="5117" width="24.5703125" style="259" customWidth="1"/>
    <col min="5118" max="5122" width="0" style="259" hidden="1" customWidth="1"/>
    <col min="5123" max="5368" width="11.42578125" style="259"/>
    <col min="5369" max="5369" width="15.42578125" style="259" customWidth="1"/>
    <col min="5370" max="5372" width="0" style="259" hidden="1" customWidth="1"/>
    <col min="5373" max="5373" width="24.5703125" style="259" customWidth="1"/>
    <col min="5374" max="5378" width="0" style="259" hidden="1" customWidth="1"/>
    <col min="5379" max="5624" width="11.42578125" style="259"/>
    <col min="5625" max="5625" width="15.42578125" style="259" customWidth="1"/>
    <col min="5626" max="5628" width="0" style="259" hidden="1" customWidth="1"/>
    <col min="5629" max="5629" width="24.5703125" style="259" customWidth="1"/>
    <col min="5630" max="5634" width="0" style="259" hidden="1" customWidth="1"/>
    <col min="5635" max="5880" width="11.42578125" style="259"/>
    <col min="5881" max="5881" width="15.42578125" style="259" customWidth="1"/>
    <col min="5882" max="5884" width="0" style="259" hidden="1" customWidth="1"/>
    <col min="5885" max="5885" width="24.5703125" style="259" customWidth="1"/>
    <col min="5886" max="5890" width="0" style="259" hidden="1" customWidth="1"/>
    <col min="5891" max="6136" width="11.42578125" style="259"/>
    <col min="6137" max="6137" width="15.42578125" style="259" customWidth="1"/>
    <col min="6138" max="6140" width="0" style="259" hidden="1" customWidth="1"/>
    <col min="6141" max="6141" width="24.5703125" style="259" customWidth="1"/>
    <col min="6142" max="6146" width="0" style="259" hidden="1" customWidth="1"/>
    <col min="6147" max="6392" width="11.42578125" style="259"/>
    <col min="6393" max="6393" width="15.42578125" style="259" customWidth="1"/>
    <col min="6394" max="6396" width="0" style="259" hidden="1" customWidth="1"/>
    <col min="6397" max="6397" width="24.5703125" style="259" customWidth="1"/>
    <col min="6398" max="6402" width="0" style="259" hidden="1" customWidth="1"/>
    <col min="6403" max="6648" width="11.42578125" style="259"/>
    <col min="6649" max="6649" width="15.42578125" style="259" customWidth="1"/>
    <col min="6650" max="6652" width="0" style="259" hidden="1" customWidth="1"/>
    <col min="6653" max="6653" width="24.5703125" style="259" customWidth="1"/>
    <col min="6654" max="6658" width="0" style="259" hidden="1" customWidth="1"/>
    <col min="6659" max="6904" width="11.42578125" style="259"/>
    <col min="6905" max="6905" width="15.42578125" style="259" customWidth="1"/>
    <col min="6906" max="6908" width="0" style="259" hidden="1" customWidth="1"/>
    <col min="6909" max="6909" width="24.5703125" style="259" customWidth="1"/>
    <col min="6910" max="6914" width="0" style="259" hidden="1" customWidth="1"/>
    <col min="6915" max="7160" width="11.42578125" style="259"/>
    <col min="7161" max="7161" width="15.42578125" style="259" customWidth="1"/>
    <col min="7162" max="7164" width="0" style="259" hidden="1" customWidth="1"/>
    <col min="7165" max="7165" width="24.5703125" style="259" customWidth="1"/>
    <col min="7166" max="7170" width="0" style="259" hidden="1" customWidth="1"/>
    <col min="7171" max="7416" width="11.42578125" style="259"/>
    <col min="7417" max="7417" width="15.42578125" style="259" customWidth="1"/>
    <col min="7418" max="7420" width="0" style="259" hidden="1" customWidth="1"/>
    <col min="7421" max="7421" width="24.5703125" style="259" customWidth="1"/>
    <col min="7422" max="7426" width="0" style="259" hidden="1" customWidth="1"/>
    <col min="7427" max="7672" width="11.42578125" style="259"/>
    <col min="7673" max="7673" width="15.42578125" style="259" customWidth="1"/>
    <col min="7674" max="7676" width="0" style="259" hidden="1" customWidth="1"/>
    <col min="7677" max="7677" width="24.5703125" style="259" customWidth="1"/>
    <col min="7678" max="7682" width="0" style="259" hidden="1" customWidth="1"/>
    <col min="7683" max="7928" width="11.42578125" style="259"/>
    <col min="7929" max="7929" width="15.42578125" style="259" customWidth="1"/>
    <col min="7930" max="7932" width="0" style="259" hidden="1" customWidth="1"/>
    <col min="7933" max="7933" width="24.5703125" style="259" customWidth="1"/>
    <col min="7934" max="7938" width="0" style="259" hidden="1" customWidth="1"/>
    <col min="7939" max="8184" width="11.42578125" style="259"/>
    <col min="8185" max="8185" width="15.42578125" style="259" customWidth="1"/>
    <col min="8186" max="8188" width="0" style="259" hidden="1" customWidth="1"/>
    <col min="8189" max="8189" width="24.5703125" style="259" customWidth="1"/>
    <col min="8190" max="8194" width="0" style="259" hidden="1" customWidth="1"/>
    <col min="8195" max="8440" width="11.42578125" style="259"/>
    <col min="8441" max="8441" width="15.42578125" style="259" customWidth="1"/>
    <col min="8442" max="8444" width="0" style="259" hidden="1" customWidth="1"/>
    <col min="8445" max="8445" width="24.5703125" style="259" customWidth="1"/>
    <col min="8446" max="8450" width="0" style="259" hidden="1" customWidth="1"/>
    <col min="8451" max="8696" width="11.42578125" style="259"/>
    <col min="8697" max="8697" width="15.42578125" style="259" customWidth="1"/>
    <col min="8698" max="8700" width="0" style="259" hidden="1" customWidth="1"/>
    <col min="8701" max="8701" width="24.5703125" style="259" customWidth="1"/>
    <col min="8702" max="8706" width="0" style="259" hidden="1" customWidth="1"/>
    <col min="8707" max="8952" width="11.42578125" style="259"/>
    <col min="8953" max="8953" width="15.42578125" style="259" customWidth="1"/>
    <col min="8954" max="8956" width="0" style="259" hidden="1" customWidth="1"/>
    <col min="8957" max="8957" width="24.5703125" style="259" customWidth="1"/>
    <col min="8958" max="8962" width="0" style="259" hidden="1" customWidth="1"/>
    <col min="8963" max="9208" width="11.42578125" style="259"/>
    <col min="9209" max="9209" width="15.42578125" style="259" customWidth="1"/>
    <col min="9210" max="9212" width="0" style="259" hidden="1" customWidth="1"/>
    <col min="9213" max="9213" width="24.5703125" style="259" customWidth="1"/>
    <col min="9214" max="9218" width="0" style="259" hidden="1" customWidth="1"/>
    <col min="9219" max="9464" width="11.42578125" style="259"/>
    <col min="9465" max="9465" width="15.42578125" style="259" customWidth="1"/>
    <col min="9466" max="9468" width="0" style="259" hidden="1" customWidth="1"/>
    <col min="9469" max="9469" width="24.5703125" style="259" customWidth="1"/>
    <col min="9470" max="9474" width="0" style="259" hidden="1" customWidth="1"/>
    <col min="9475" max="9720" width="11.42578125" style="259"/>
    <col min="9721" max="9721" width="15.42578125" style="259" customWidth="1"/>
    <col min="9722" max="9724" width="0" style="259" hidden="1" customWidth="1"/>
    <col min="9725" max="9725" width="24.5703125" style="259" customWidth="1"/>
    <col min="9726" max="9730" width="0" style="259" hidden="1" customWidth="1"/>
    <col min="9731" max="9976" width="11.42578125" style="259"/>
    <col min="9977" max="9977" width="15.42578125" style="259" customWidth="1"/>
    <col min="9978" max="9980" width="0" style="259" hidden="1" customWidth="1"/>
    <col min="9981" max="9981" width="24.5703125" style="259" customWidth="1"/>
    <col min="9982" max="9986" width="0" style="259" hidden="1" customWidth="1"/>
    <col min="9987" max="10232" width="11.42578125" style="259"/>
    <col min="10233" max="10233" width="15.42578125" style="259" customWidth="1"/>
    <col min="10234" max="10236" width="0" style="259" hidden="1" customWidth="1"/>
    <col min="10237" max="10237" width="24.5703125" style="259" customWidth="1"/>
    <col min="10238" max="10242" width="0" style="259" hidden="1" customWidth="1"/>
    <col min="10243" max="10488" width="11.42578125" style="259"/>
    <col min="10489" max="10489" width="15.42578125" style="259" customWidth="1"/>
    <col min="10490" max="10492" width="0" style="259" hidden="1" customWidth="1"/>
    <col min="10493" max="10493" width="24.5703125" style="259" customWidth="1"/>
    <col min="10494" max="10498" width="0" style="259" hidden="1" customWidth="1"/>
    <col min="10499" max="10744" width="11.42578125" style="259"/>
    <col min="10745" max="10745" width="15.42578125" style="259" customWidth="1"/>
    <col min="10746" max="10748" width="0" style="259" hidden="1" customWidth="1"/>
    <col min="10749" max="10749" width="24.5703125" style="259" customWidth="1"/>
    <col min="10750" max="10754" width="0" style="259" hidden="1" customWidth="1"/>
    <col min="10755" max="11000" width="11.42578125" style="259"/>
    <col min="11001" max="11001" width="15.42578125" style="259" customWidth="1"/>
    <col min="11002" max="11004" width="0" style="259" hidden="1" customWidth="1"/>
    <col min="11005" max="11005" width="24.5703125" style="259" customWidth="1"/>
    <col min="11006" max="11010" width="0" style="259" hidden="1" customWidth="1"/>
    <col min="11011" max="11256" width="11.42578125" style="259"/>
    <col min="11257" max="11257" width="15.42578125" style="259" customWidth="1"/>
    <col min="11258" max="11260" width="0" style="259" hidden="1" customWidth="1"/>
    <col min="11261" max="11261" width="24.5703125" style="259" customWidth="1"/>
    <col min="11262" max="11266" width="0" style="259" hidden="1" customWidth="1"/>
    <col min="11267" max="11512" width="11.42578125" style="259"/>
    <col min="11513" max="11513" width="15.42578125" style="259" customWidth="1"/>
    <col min="11514" max="11516" width="0" style="259" hidden="1" customWidth="1"/>
    <col min="11517" max="11517" width="24.5703125" style="259" customWidth="1"/>
    <col min="11518" max="11522" width="0" style="259" hidden="1" customWidth="1"/>
    <col min="11523" max="11768" width="11.42578125" style="259"/>
    <col min="11769" max="11769" width="15.42578125" style="259" customWidth="1"/>
    <col min="11770" max="11772" width="0" style="259" hidden="1" customWidth="1"/>
    <col min="11773" max="11773" width="24.5703125" style="259" customWidth="1"/>
    <col min="11774" max="11778" width="0" style="259" hidden="1" customWidth="1"/>
    <col min="11779" max="12024" width="11.42578125" style="259"/>
    <col min="12025" max="12025" width="15.42578125" style="259" customWidth="1"/>
    <col min="12026" max="12028" width="0" style="259" hidden="1" customWidth="1"/>
    <col min="12029" max="12029" width="24.5703125" style="259" customWidth="1"/>
    <col min="12030" max="12034" width="0" style="259" hidden="1" customWidth="1"/>
    <col min="12035" max="12280" width="11.42578125" style="259"/>
    <col min="12281" max="12281" width="15.42578125" style="259" customWidth="1"/>
    <col min="12282" max="12284" width="0" style="259" hidden="1" customWidth="1"/>
    <col min="12285" max="12285" width="24.5703125" style="259" customWidth="1"/>
    <col min="12286" max="12290" width="0" style="259" hidden="1" customWidth="1"/>
    <col min="12291" max="12536" width="11.42578125" style="259"/>
    <col min="12537" max="12537" width="15.42578125" style="259" customWidth="1"/>
    <col min="12538" max="12540" width="0" style="259" hidden="1" customWidth="1"/>
    <col min="12541" max="12541" width="24.5703125" style="259" customWidth="1"/>
    <col min="12542" max="12546" width="0" style="259" hidden="1" customWidth="1"/>
    <col min="12547" max="12792" width="11.42578125" style="259"/>
    <col min="12793" max="12793" width="15.42578125" style="259" customWidth="1"/>
    <col min="12794" max="12796" width="0" style="259" hidden="1" customWidth="1"/>
    <col min="12797" max="12797" width="24.5703125" style="259" customWidth="1"/>
    <col min="12798" max="12802" width="0" style="259" hidden="1" customWidth="1"/>
    <col min="12803" max="13048" width="11.42578125" style="259"/>
    <col min="13049" max="13049" width="15.42578125" style="259" customWidth="1"/>
    <col min="13050" max="13052" width="0" style="259" hidden="1" customWidth="1"/>
    <col min="13053" max="13053" width="24.5703125" style="259" customWidth="1"/>
    <col min="13054" max="13058" width="0" style="259" hidden="1" customWidth="1"/>
    <col min="13059" max="13304" width="11.42578125" style="259"/>
    <col min="13305" max="13305" width="15.42578125" style="259" customWidth="1"/>
    <col min="13306" max="13308" width="0" style="259" hidden="1" customWidth="1"/>
    <col min="13309" max="13309" width="24.5703125" style="259" customWidth="1"/>
    <col min="13310" max="13314" width="0" style="259" hidden="1" customWidth="1"/>
    <col min="13315" max="13560" width="11.42578125" style="259"/>
    <col min="13561" max="13561" width="15.42578125" style="259" customWidth="1"/>
    <col min="13562" max="13564" width="0" style="259" hidden="1" customWidth="1"/>
    <col min="13565" max="13565" width="24.5703125" style="259" customWidth="1"/>
    <col min="13566" max="13570" width="0" style="259" hidden="1" customWidth="1"/>
    <col min="13571" max="13816" width="11.42578125" style="259"/>
    <col min="13817" max="13817" width="15.42578125" style="259" customWidth="1"/>
    <col min="13818" max="13820" width="0" style="259" hidden="1" customWidth="1"/>
    <col min="13821" max="13821" width="24.5703125" style="259" customWidth="1"/>
    <col min="13822" max="13826" width="0" style="259" hidden="1" customWidth="1"/>
    <col min="13827" max="14072" width="11.42578125" style="259"/>
    <col min="14073" max="14073" width="15.42578125" style="259" customWidth="1"/>
    <col min="14074" max="14076" width="0" style="259" hidden="1" customWidth="1"/>
    <col min="14077" max="14077" width="24.5703125" style="259" customWidth="1"/>
    <col min="14078" max="14082" width="0" style="259" hidden="1" customWidth="1"/>
    <col min="14083" max="14328" width="11.42578125" style="259"/>
    <col min="14329" max="14329" width="15.42578125" style="259" customWidth="1"/>
    <col min="14330" max="14332" width="0" style="259" hidden="1" customWidth="1"/>
    <col min="14333" max="14333" width="24.5703125" style="259" customWidth="1"/>
    <col min="14334" max="14338" width="0" style="259" hidden="1" customWidth="1"/>
    <col min="14339" max="14584" width="11.42578125" style="259"/>
    <col min="14585" max="14585" width="15.42578125" style="259" customWidth="1"/>
    <col min="14586" max="14588" width="0" style="259" hidden="1" customWidth="1"/>
    <col min="14589" max="14589" width="24.5703125" style="259" customWidth="1"/>
    <col min="14590" max="14594" width="0" style="259" hidden="1" customWidth="1"/>
    <col min="14595" max="14840" width="11.42578125" style="259"/>
    <col min="14841" max="14841" width="15.42578125" style="259" customWidth="1"/>
    <col min="14842" max="14844" width="0" style="259" hidden="1" customWidth="1"/>
    <col min="14845" max="14845" width="24.5703125" style="259" customWidth="1"/>
    <col min="14846" max="14850" width="0" style="259" hidden="1" customWidth="1"/>
    <col min="14851" max="15096" width="11.42578125" style="259"/>
    <col min="15097" max="15097" width="15.42578125" style="259" customWidth="1"/>
    <col min="15098" max="15100" width="0" style="259" hidden="1" customWidth="1"/>
    <col min="15101" max="15101" width="24.5703125" style="259" customWidth="1"/>
    <col min="15102" max="15106" width="0" style="259" hidden="1" customWidth="1"/>
    <col min="15107" max="15352" width="11.42578125" style="259"/>
    <col min="15353" max="15353" width="15.42578125" style="259" customWidth="1"/>
    <col min="15354" max="15356" width="0" style="259" hidden="1" customWidth="1"/>
    <col min="15357" max="15357" width="24.5703125" style="259" customWidth="1"/>
    <col min="15358" max="15362" width="0" style="259" hidden="1" customWidth="1"/>
    <col min="15363" max="15608" width="11.42578125" style="259"/>
    <col min="15609" max="15609" width="15.42578125" style="259" customWidth="1"/>
    <col min="15610" max="15612" width="0" style="259" hidden="1" customWidth="1"/>
    <col min="15613" max="15613" width="24.5703125" style="259" customWidth="1"/>
    <col min="15614" max="15618" width="0" style="259" hidden="1" customWidth="1"/>
    <col min="15619" max="15864" width="11.42578125" style="259"/>
    <col min="15865" max="15865" width="15.42578125" style="259" customWidth="1"/>
    <col min="15866" max="15868" width="0" style="259" hidden="1" customWidth="1"/>
    <col min="15869" max="15869" width="24.5703125" style="259" customWidth="1"/>
    <col min="15870" max="15874" width="0" style="259" hidden="1" customWidth="1"/>
    <col min="15875" max="16120" width="11.42578125" style="259"/>
    <col min="16121" max="16121" width="15.42578125" style="259" customWidth="1"/>
    <col min="16122" max="16124" width="0" style="259" hidden="1" customWidth="1"/>
    <col min="16125" max="16125" width="24.5703125" style="259" customWidth="1"/>
    <col min="16126" max="16130" width="0" style="259" hidden="1" customWidth="1"/>
    <col min="16131" max="16376" width="11.42578125" style="259"/>
    <col min="16377" max="16377" width="11.42578125" style="259" customWidth="1"/>
    <col min="16378" max="16384" width="11.42578125" style="259"/>
  </cols>
  <sheetData>
    <row r="1" spans="2:8" hidden="1" x14ac:dyDescent="0.2"/>
    <row r="3" spans="2:8" ht="13.5" thickBot="1" x14ac:dyDescent="0.25">
      <c r="B3" s="259" t="s">
        <v>107</v>
      </c>
      <c r="H3" s="268"/>
    </row>
    <row r="4" spans="2:8" ht="13.5" thickBot="1" x14ac:dyDescent="0.25">
      <c r="B4" s="447" t="s">
        <v>94</v>
      </c>
      <c r="C4" s="448">
        <v>2018</v>
      </c>
      <c r="D4" s="448">
        <v>2019</v>
      </c>
      <c r="E4" s="474">
        <v>2020</v>
      </c>
      <c r="F4" s="449">
        <v>2021</v>
      </c>
      <c r="G4" s="449">
        <v>2022</v>
      </c>
      <c r="H4" s="586"/>
    </row>
    <row r="5" spans="2:8" x14ac:dyDescent="0.2">
      <c r="B5" s="596" t="s">
        <v>108</v>
      </c>
      <c r="C5" s="443">
        <v>108473</v>
      </c>
      <c r="D5" s="443">
        <v>109221</v>
      </c>
      <c r="E5" s="597">
        <f>BEaH20!B37</f>
        <v>109688</v>
      </c>
      <c r="F5" s="463">
        <f>BEaH21!B37</f>
        <v>117784</v>
      </c>
      <c r="G5" s="463">
        <f>BEaH22!B37</f>
        <v>119004</v>
      </c>
    </row>
    <row r="6" spans="2:8" x14ac:dyDescent="0.2">
      <c r="B6" s="450" t="s">
        <v>109</v>
      </c>
      <c r="C6" s="379">
        <v>71412</v>
      </c>
      <c r="D6" s="379">
        <v>66937</v>
      </c>
      <c r="E6" s="595">
        <f>BEaH20!C37</f>
        <v>72634</v>
      </c>
      <c r="F6" s="454">
        <f>BEaH21!C37</f>
        <v>76434</v>
      </c>
      <c r="G6" s="454">
        <f>BEaH22!C37</f>
        <v>79966</v>
      </c>
    </row>
    <row r="7" spans="2:8" x14ac:dyDescent="0.2">
      <c r="B7" s="450" t="s">
        <v>110</v>
      </c>
      <c r="C7" s="379">
        <v>149781</v>
      </c>
      <c r="D7" s="379">
        <v>146321</v>
      </c>
      <c r="E7" s="595">
        <f>BEaH20!D37</f>
        <v>153969</v>
      </c>
      <c r="F7" s="454">
        <f>BEaH21!D37</f>
        <v>164938</v>
      </c>
      <c r="G7" s="454">
        <f>BEaH22!D37</f>
        <v>144302</v>
      </c>
    </row>
    <row r="8" spans="2:8" x14ac:dyDescent="0.2">
      <c r="B8" s="450" t="s">
        <v>111</v>
      </c>
      <c r="C8" s="379">
        <v>132313</v>
      </c>
      <c r="D8" s="379">
        <v>128526</v>
      </c>
      <c r="E8" s="595">
        <f>BEaH20!E37</f>
        <v>136564</v>
      </c>
      <c r="F8" s="454">
        <f>BEaH21!E37</f>
        <v>149451</v>
      </c>
      <c r="G8" s="454">
        <f>BEaH22!E37</f>
        <v>150318</v>
      </c>
    </row>
    <row r="9" spans="2:8" x14ac:dyDescent="0.2">
      <c r="B9" s="450" t="s">
        <v>112</v>
      </c>
      <c r="C9" s="379">
        <v>93069</v>
      </c>
      <c r="D9" s="379">
        <v>94582</v>
      </c>
      <c r="E9" s="595">
        <f>BEaH20!F37</f>
        <v>93031</v>
      </c>
      <c r="F9" s="463">
        <f>BEaH21!F37</f>
        <v>91854</v>
      </c>
      <c r="G9" s="463">
        <f>BEaH22!F37</f>
        <v>96519</v>
      </c>
    </row>
    <row r="10" spans="2:8" ht="13.5" thickBot="1" x14ac:dyDescent="0.25">
      <c r="B10" s="440"/>
      <c r="C10" s="441">
        <v>555048</v>
      </c>
      <c r="D10" s="441">
        <v>545587</v>
      </c>
      <c r="E10" s="555">
        <f>SUM(E5:E9)</f>
        <v>565886</v>
      </c>
      <c r="F10" s="598">
        <f>SUM(F5:F9)</f>
        <v>600461</v>
      </c>
      <c r="G10" s="598">
        <f>SUM(G5:G9)</f>
        <v>590109</v>
      </c>
    </row>
    <row r="60" spans="2:4" x14ac:dyDescent="0.2">
      <c r="B60" s="259" t="s">
        <v>92</v>
      </c>
    </row>
    <row r="61" spans="2:4" x14ac:dyDescent="0.2">
      <c r="C61" s="259" t="s">
        <v>94</v>
      </c>
      <c r="D61" s="260">
        <v>2011</v>
      </c>
    </row>
    <row r="62" spans="2:4" x14ac:dyDescent="0.2">
      <c r="B62" s="262" t="s">
        <v>93</v>
      </c>
      <c r="C62" s="262"/>
      <c r="D62" s="266">
        <v>11530</v>
      </c>
    </row>
    <row r="63" spans="2:4" x14ac:dyDescent="0.2">
      <c r="B63" s="262"/>
      <c r="C63" s="262"/>
    </row>
    <row r="64" spans="2:4" x14ac:dyDescent="0.2">
      <c r="B64" s="262"/>
      <c r="C64" s="262"/>
    </row>
    <row r="65" spans="2:3" x14ac:dyDescent="0.2">
      <c r="B65" s="262"/>
      <c r="C65" s="262"/>
    </row>
    <row r="66" spans="2:3" x14ac:dyDescent="0.2">
      <c r="B66" s="262"/>
      <c r="C66" s="262"/>
    </row>
    <row r="67" spans="2:3" x14ac:dyDescent="0.2">
      <c r="C67" s="259">
        <v>2007</v>
      </c>
    </row>
    <row r="95" spans="1:3" x14ac:dyDescent="0.2">
      <c r="B95" s="260"/>
    </row>
    <row r="96" spans="1:3" x14ac:dyDescent="0.2">
      <c r="A96" s="268"/>
      <c r="B96" s="268"/>
      <c r="C96" s="268"/>
    </row>
    <row r="97" spans="1:3" x14ac:dyDescent="0.2">
      <c r="A97" s="268"/>
      <c r="B97" s="268"/>
      <c r="C97" s="268"/>
    </row>
    <row r="98" spans="1:3" x14ac:dyDescent="0.2">
      <c r="A98" s="268"/>
      <c r="B98" s="268"/>
      <c r="C98" s="268"/>
    </row>
    <row r="99" spans="1:3" x14ac:dyDescent="0.2">
      <c r="A99" s="268"/>
      <c r="B99" s="268"/>
      <c r="C99" s="268"/>
    </row>
    <row r="100" spans="1:3" x14ac:dyDescent="0.2">
      <c r="A100" s="268"/>
      <c r="B100" s="268"/>
      <c r="C100" s="268"/>
    </row>
    <row r="101" spans="1:3" x14ac:dyDescent="0.2">
      <c r="A101" s="268"/>
      <c r="B101" s="268"/>
      <c r="C101" s="268"/>
    </row>
    <row r="102" spans="1:3" x14ac:dyDescent="0.2">
      <c r="A102" s="268"/>
      <c r="B102" s="268"/>
      <c r="C102" s="268"/>
    </row>
    <row r="103" spans="1:3" x14ac:dyDescent="0.2">
      <c r="A103" s="268"/>
      <c r="B103" s="268"/>
      <c r="C103" s="268"/>
    </row>
    <row r="104" spans="1:3" x14ac:dyDescent="0.2">
      <c r="A104" s="268"/>
      <c r="B104" s="268"/>
      <c r="C104" s="268"/>
    </row>
    <row r="105" spans="1:3" x14ac:dyDescent="0.2">
      <c r="A105" s="268"/>
      <c r="B105" s="268"/>
      <c r="C105" s="268"/>
    </row>
  </sheetData>
  <pageMargins left="0.78740157499999996" right="0.78740157499999996" top="0.984251969" bottom="0.984251969" header="0.4921259845" footer="0.4921259845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AJ46"/>
  <sheetViews>
    <sheetView zoomScale="75" zoomScaleNormal="75" workbookViewId="0">
      <selection activeCell="AD9" sqref="AD9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369" customFormat="1" ht="18" x14ac:dyDescent="0.25">
      <c r="A1" s="730" t="s">
        <v>117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369" customFormat="1" ht="9" customHeight="1" thickBot="1" x14ac:dyDescent="0.3"/>
    <row r="3" spans="1:36" ht="65.2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t="s">
        <v>44</v>
      </c>
      <c r="AA3" s="371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370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7" t="s">
        <v>1</v>
      </c>
      <c r="B6" s="22">
        <v>116</v>
      </c>
      <c r="C6" s="22">
        <v>29</v>
      </c>
      <c r="D6" s="22">
        <v>113</v>
      </c>
      <c r="E6" s="22">
        <v>71</v>
      </c>
      <c r="F6" s="22">
        <v>33</v>
      </c>
      <c r="G6" s="121">
        <f>SUM(B6:F6)</f>
        <v>362</v>
      </c>
      <c r="H6" s="44">
        <v>0</v>
      </c>
      <c r="I6" s="45">
        <v>1</v>
      </c>
      <c r="J6" s="45">
        <v>0</v>
      </c>
      <c r="K6" s="45">
        <v>0</v>
      </c>
      <c r="L6" s="334">
        <v>0</v>
      </c>
      <c r="M6" s="335">
        <f>SUM(H6:L6)</f>
        <v>1</v>
      </c>
      <c r="N6" s="77">
        <f>M6*100/G6</f>
        <v>0.27624309392265195</v>
      </c>
      <c r="O6" s="45">
        <v>1</v>
      </c>
      <c r="P6" s="45">
        <v>1</v>
      </c>
      <c r="Q6" s="45">
        <v>1</v>
      </c>
      <c r="R6" s="45">
        <v>0</v>
      </c>
      <c r="S6" s="45">
        <v>0</v>
      </c>
      <c r="T6" s="335">
        <f>SUM(O6:S6)</f>
        <v>3</v>
      </c>
      <c r="U6" s="133">
        <f>T6*100/G6</f>
        <v>0.82872928176795579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336">
        <f>SUM(V6:Z6)</f>
        <v>0</v>
      </c>
      <c r="AB6" s="212">
        <f>AA6*100/G6</f>
        <v>0</v>
      </c>
      <c r="AC6" s="335">
        <v>0</v>
      </c>
      <c r="AD6" s="335">
        <v>0</v>
      </c>
      <c r="AE6" s="335">
        <v>10</v>
      </c>
    </row>
    <row r="7" spans="1:36" ht="15" thickBot="1" x14ac:dyDescent="0.25">
      <c r="A7" s="8" t="s">
        <v>2</v>
      </c>
      <c r="B7" s="22">
        <v>858</v>
      </c>
      <c r="C7" s="22">
        <v>173</v>
      </c>
      <c r="D7" s="22">
        <v>791</v>
      </c>
      <c r="E7" s="22">
        <v>630</v>
      </c>
      <c r="F7" s="22">
        <v>315</v>
      </c>
      <c r="G7" s="121">
        <f>SUM(B7:F7)</f>
        <v>2767</v>
      </c>
      <c r="H7" s="44">
        <v>1</v>
      </c>
      <c r="I7" s="45">
        <v>0</v>
      </c>
      <c r="J7" s="45">
        <v>0</v>
      </c>
      <c r="K7" s="45">
        <v>3</v>
      </c>
      <c r="L7" s="334">
        <v>2</v>
      </c>
      <c r="M7" s="335">
        <f>SUM(H7:L7)</f>
        <v>6</v>
      </c>
      <c r="N7" s="78">
        <f>M7*100/G7</f>
        <v>0.21684134441633537</v>
      </c>
      <c r="O7" s="45">
        <v>3</v>
      </c>
      <c r="P7" s="45">
        <v>1</v>
      </c>
      <c r="Q7" s="45">
        <v>5</v>
      </c>
      <c r="R7" s="45">
        <v>3</v>
      </c>
      <c r="S7" s="45">
        <v>2</v>
      </c>
      <c r="T7" s="335">
        <f>SUM(O7:S7)</f>
        <v>14</v>
      </c>
      <c r="U7" s="92">
        <f>T7*100/G7</f>
        <v>0.50596313697144923</v>
      </c>
      <c r="V7" s="45">
        <v>0</v>
      </c>
      <c r="W7" s="45">
        <v>0</v>
      </c>
      <c r="X7" s="45">
        <v>8</v>
      </c>
      <c r="Y7" s="45">
        <v>2</v>
      </c>
      <c r="Z7" s="45">
        <v>1</v>
      </c>
      <c r="AA7" s="336">
        <f>SUM(V7:Z7)</f>
        <v>11</v>
      </c>
      <c r="AB7" s="92">
        <f>AA7*100/G7</f>
        <v>0.39754246476328153</v>
      </c>
      <c r="AC7" s="335">
        <v>2</v>
      </c>
      <c r="AD7" s="335">
        <v>4</v>
      </c>
      <c r="AE7" s="335">
        <v>66</v>
      </c>
    </row>
    <row r="8" spans="1:36" ht="15" thickBot="1" x14ac:dyDescent="0.25">
      <c r="A8" s="8" t="s">
        <v>14</v>
      </c>
      <c r="B8" s="22">
        <v>85</v>
      </c>
      <c r="C8" s="22">
        <v>33</v>
      </c>
      <c r="D8" s="22">
        <v>103</v>
      </c>
      <c r="E8" s="22">
        <v>122</v>
      </c>
      <c r="F8" s="22">
        <v>39</v>
      </c>
      <c r="G8" s="121">
        <f>SUM(B8:F8)</f>
        <v>382</v>
      </c>
      <c r="H8" s="44">
        <v>0</v>
      </c>
      <c r="I8" s="45">
        <v>0</v>
      </c>
      <c r="J8" s="45">
        <v>0</v>
      </c>
      <c r="K8" s="45">
        <v>0</v>
      </c>
      <c r="L8" s="334">
        <v>0</v>
      </c>
      <c r="M8" s="335">
        <f>SUM(H8:L8)</f>
        <v>0</v>
      </c>
      <c r="N8" s="78">
        <f>M8*100/G8</f>
        <v>0</v>
      </c>
      <c r="O8" s="45">
        <v>0</v>
      </c>
      <c r="P8" s="45">
        <v>1</v>
      </c>
      <c r="Q8" s="45">
        <v>0</v>
      </c>
      <c r="R8" s="45">
        <v>1</v>
      </c>
      <c r="S8" s="45">
        <v>0</v>
      </c>
      <c r="T8" s="335">
        <f>SUM(O8:S8)</f>
        <v>2</v>
      </c>
      <c r="U8" s="92">
        <f t="shared" ref="U8:U43" si="0">T8*100/G8</f>
        <v>0.52356020942408377</v>
      </c>
      <c r="V8" s="45">
        <v>0</v>
      </c>
      <c r="W8" s="45">
        <v>0</v>
      </c>
      <c r="X8" s="45">
        <v>1</v>
      </c>
      <c r="Y8" s="45">
        <v>0</v>
      </c>
      <c r="Z8" s="45">
        <v>0</v>
      </c>
      <c r="AA8" s="336">
        <f>SUM(V8:Z8)</f>
        <v>1</v>
      </c>
      <c r="AB8" s="92">
        <f t="shared" ref="AB8:AB43" si="1">AA8*100/G8</f>
        <v>0.26178010471204188</v>
      </c>
      <c r="AC8" s="335">
        <v>0</v>
      </c>
      <c r="AD8" s="335">
        <v>0</v>
      </c>
      <c r="AE8" s="335">
        <v>3</v>
      </c>
    </row>
    <row r="9" spans="1:36" ht="15" thickBot="1" x14ac:dyDescent="0.25">
      <c r="A9" s="9" t="s">
        <v>3</v>
      </c>
      <c r="B9" s="22">
        <v>124</v>
      </c>
      <c r="C9" s="22">
        <v>62</v>
      </c>
      <c r="D9" s="22">
        <v>171</v>
      </c>
      <c r="E9" s="22">
        <v>131</v>
      </c>
      <c r="F9" s="22">
        <v>47</v>
      </c>
      <c r="G9" s="121">
        <f>SUM(B9:F9)</f>
        <v>535</v>
      </c>
      <c r="H9" s="44">
        <v>0</v>
      </c>
      <c r="I9" s="45">
        <v>0</v>
      </c>
      <c r="J9" s="45">
        <v>0</v>
      </c>
      <c r="K9" s="45">
        <v>0</v>
      </c>
      <c r="L9" s="334">
        <v>0</v>
      </c>
      <c r="M9" s="335">
        <f>SUM(H9:L9)</f>
        <v>0</v>
      </c>
      <c r="N9" s="78">
        <f>M9*100/G9</f>
        <v>0</v>
      </c>
      <c r="O9" s="45">
        <v>0</v>
      </c>
      <c r="P9" s="45">
        <v>0</v>
      </c>
      <c r="Q9" s="45">
        <v>1</v>
      </c>
      <c r="R9" s="45">
        <v>0</v>
      </c>
      <c r="S9" s="45">
        <v>0</v>
      </c>
      <c r="T9" s="335">
        <f>SUM(O9:S9)</f>
        <v>1</v>
      </c>
      <c r="U9" s="92">
        <f t="shared" si="0"/>
        <v>0.18691588785046728</v>
      </c>
      <c r="V9" s="45">
        <v>0</v>
      </c>
      <c r="W9" s="45">
        <v>0</v>
      </c>
      <c r="X9" s="45">
        <v>1</v>
      </c>
      <c r="Y9" s="45">
        <v>0</v>
      </c>
      <c r="Z9" s="45">
        <v>1</v>
      </c>
      <c r="AA9" s="336">
        <f>SUM(V9:Z9)</f>
        <v>2</v>
      </c>
      <c r="AB9" s="92">
        <f t="shared" si="1"/>
        <v>0.37383177570093457</v>
      </c>
      <c r="AC9" s="335">
        <v>0</v>
      </c>
      <c r="AD9" s="335">
        <v>0</v>
      </c>
      <c r="AE9" s="335">
        <v>5</v>
      </c>
    </row>
    <row r="10" spans="1:36" ht="24.75" thickBot="1" x14ac:dyDescent="0.25">
      <c r="A10" s="18" t="s">
        <v>23</v>
      </c>
      <c r="B10" s="22">
        <v>923</v>
      </c>
      <c r="C10" s="22">
        <v>180</v>
      </c>
      <c r="D10" s="22">
        <v>931</v>
      </c>
      <c r="E10" s="22">
        <v>873</v>
      </c>
      <c r="F10" s="22">
        <v>336</v>
      </c>
      <c r="G10" s="121">
        <f>SUM(B10:F10)</f>
        <v>3243</v>
      </c>
      <c r="H10" s="44">
        <v>0</v>
      </c>
      <c r="I10" s="45">
        <v>0</v>
      </c>
      <c r="J10" s="45">
        <v>1</v>
      </c>
      <c r="K10" s="45">
        <v>2</v>
      </c>
      <c r="L10" s="334">
        <v>4</v>
      </c>
      <c r="M10" s="335">
        <f>SUM(H10:L10)</f>
        <v>7</v>
      </c>
      <c r="N10" s="96">
        <f>M10*100/G10</f>
        <v>0.21584952204748689</v>
      </c>
      <c r="O10" s="45">
        <v>2</v>
      </c>
      <c r="P10" s="45">
        <v>3</v>
      </c>
      <c r="Q10" s="45">
        <v>3</v>
      </c>
      <c r="R10" s="45">
        <v>1</v>
      </c>
      <c r="S10" s="45">
        <v>4</v>
      </c>
      <c r="T10" s="84">
        <f>SUM(O10:S10)</f>
        <v>13</v>
      </c>
      <c r="U10" s="143">
        <f t="shared" si="0"/>
        <v>0.40086339808818994</v>
      </c>
      <c r="V10" s="45">
        <v>0</v>
      </c>
      <c r="W10" s="45">
        <v>0</v>
      </c>
      <c r="X10" s="45">
        <v>2</v>
      </c>
      <c r="Y10" s="45">
        <v>3</v>
      </c>
      <c r="Z10" s="45">
        <v>0</v>
      </c>
      <c r="AA10" s="336">
        <f>SUM(V10:Z10)</f>
        <v>5</v>
      </c>
      <c r="AB10" s="93">
        <f t="shared" si="1"/>
        <v>0.1541782300339192</v>
      </c>
      <c r="AC10" s="335">
        <v>3</v>
      </c>
      <c r="AD10" s="335">
        <v>0</v>
      </c>
      <c r="AE10" s="335">
        <v>56</v>
      </c>
    </row>
    <row r="11" spans="1:36" ht="15.75" thickBot="1" x14ac:dyDescent="0.3">
      <c r="A11" s="10" t="s">
        <v>21</v>
      </c>
      <c r="B11" s="24">
        <f>SUM(B6:B10)</f>
        <v>2106</v>
      </c>
      <c r="C11" s="24">
        <f>SUM(C6:C10)</f>
        <v>477</v>
      </c>
      <c r="D11" s="24">
        <f>SUM(D6:D10)</f>
        <v>2109</v>
      </c>
      <c r="E11" s="24">
        <f>SUM(E6:E10)</f>
        <v>1827</v>
      </c>
      <c r="F11" s="24">
        <f>SUM(F6:F10)</f>
        <v>770</v>
      </c>
      <c r="G11" s="122">
        <f t="shared" ref="G11:M11" si="2">SUM(G6:G10)</f>
        <v>7289</v>
      </c>
      <c r="H11" s="122">
        <f>SUM(H6:H10)</f>
        <v>1</v>
      </c>
      <c r="I11" s="122">
        <f>SUM(I6:I10)</f>
        <v>1</v>
      </c>
      <c r="J11" s="122">
        <f t="shared" si="2"/>
        <v>1</v>
      </c>
      <c r="K11" s="122">
        <f t="shared" si="2"/>
        <v>5</v>
      </c>
      <c r="L11" s="122">
        <f t="shared" si="2"/>
        <v>6</v>
      </c>
      <c r="M11" s="325">
        <f t="shared" si="2"/>
        <v>14</v>
      </c>
      <c r="N11" s="118">
        <f t="shared" ref="N11:N43" si="3">M11*100/G11</f>
        <v>0.19207024283166416</v>
      </c>
      <c r="O11" s="119">
        <f t="shared" ref="O11:T11" si="4">SUM(O6:O10)</f>
        <v>6</v>
      </c>
      <c r="P11" s="119">
        <f t="shared" si="4"/>
        <v>6</v>
      </c>
      <c r="Q11" s="119">
        <f t="shared" si="4"/>
        <v>10</v>
      </c>
      <c r="R11" s="119">
        <f>SUM(R6:R10)</f>
        <v>5</v>
      </c>
      <c r="S11" s="119">
        <f t="shared" si="4"/>
        <v>6</v>
      </c>
      <c r="T11" s="326">
        <f t="shared" si="4"/>
        <v>33</v>
      </c>
      <c r="U11" s="94">
        <f t="shared" si="0"/>
        <v>0.45273700096035119</v>
      </c>
      <c r="V11" s="119">
        <f t="shared" ref="V11:AA11" si="5">SUM(V6:V10)</f>
        <v>0</v>
      </c>
      <c r="W11" s="119">
        <f t="shared" si="5"/>
        <v>0</v>
      </c>
      <c r="X11" s="119">
        <f t="shared" si="5"/>
        <v>12</v>
      </c>
      <c r="Y11" s="119">
        <f>SUM(Y6:Y10)</f>
        <v>5</v>
      </c>
      <c r="Z11" s="119">
        <f t="shared" si="5"/>
        <v>2</v>
      </c>
      <c r="AA11" s="327">
        <f t="shared" si="5"/>
        <v>19</v>
      </c>
      <c r="AB11" s="94">
        <f t="shared" si="1"/>
        <v>0.26066675812868706</v>
      </c>
      <c r="AC11" s="132">
        <f>SUM(AC6:AC10)</f>
        <v>5</v>
      </c>
      <c r="AD11" s="115">
        <f>SUM(AD6:AD10)</f>
        <v>4</v>
      </c>
      <c r="AE11" s="115">
        <f>SUM(AE6:AE10)</f>
        <v>140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151"/>
      <c r="O12" s="52"/>
      <c r="P12" s="52"/>
      <c r="Q12" s="52"/>
      <c r="R12" s="52"/>
      <c r="S12" s="52"/>
      <c r="T12" s="85"/>
      <c r="U12" s="151"/>
      <c r="AA12" s="340"/>
      <c r="AC12" s="340"/>
      <c r="AD12" s="340"/>
      <c r="AE12" s="340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131"/>
      <c r="O13" s="54"/>
      <c r="P13" s="54"/>
      <c r="Q13" s="54"/>
      <c r="R13" s="54"/>
      <c r="S13" s="54"/>
      <c r="T13" s="86"/>
      <c r="U13" s="131"/>
      <c r="AA13" s="340"/>
      <c r="AC13" s="340"/>
      <c r="AD13" s="340"/>
      <c r="AE13" s="340"/>
    </row>
    <row r="14" spans="1:36" ht="15" thickBot="1" x14ac:dyDescent="0.25">
      <c r="A14" s="7" t="s">
        <v>4</v>
      </c>
      <c r="B14" s="22">
        <v>20</v>
      </c>
      <c r="C14" s="22">
        <v>3</v>
      </c>
      <c r="D14" s="22">
        <v>30</v>
      </c>
      <c r="E14" s="22">
        <v>37</v>
      </c>
      <c r="F14" s="22">
        <v>14</v>
      </c>
      <c r="G14" s="121">
        <f>SUM(B14:F14)</f>
        <v>104</v>
      </c>
      <c r="H14" s="57">
        <v>0</v>
      </c>
      <c r="I14" s="57">
        <v>0</v>
      </c>
      <c r="J14" s="58">
        <v>0</v>
      </c>
      <c r="K14" s="45">
        <v>0</v>
      </c>
      <c r="L14" s="334">
        <v>0</v>
      </c>
      <c r="M14" s="335">
        <f>SUM(H14:L14)</f>
        <v>0</v>
      </c>
      <c r="N14" s="341">
        <f t="shared" si="3"/>
        <v>0</v>
      </c>
      <c r="O14" s="58">
        <v>0</v>
      </c>
      <c r="P14" s="58">
        <v>0</v>
      </c>
      <c r="Q14" s="45">
        <v>0</v>
      </c>
      <c r="R14" s="45">
        <v>0</v>
      </c>
      <c r="S14" s="58">
        <v>0</v>
      </c>
      <c r="T14" s="335">
        <f>SUM(O14:S14)</f>
        <v>0</v>
      </c>
      <c r="U14" s="211">
        <f t="shared" si="0"/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335">
        <f>SUM(V14:Z14)</f>
        <v>0</v>
      </c>
      <c r="AB14" s="92">
        <f t="shared" si="1"/>
        <v>0</v>
      </c>
      <c r="AC14" s="335">
        <v>0</v>
      </c>
      <c r="AD14" s="335">
        <v>0</v>
      </c>
      <c r="AE14" s="335">
        <v>2</v>
      </c>
    </row>
    <row r="15" spans="1:36" ht="15" thickBot="1" x14ac:dyDescent="0.25">
      <c r="A15" s="11" t="s">
        <v>5</v>
      </c>
      <c r="B15" s="27">
        <v>191</v>
      </c>
      <c r="C15" s="27">
        <v>42</v>
      </c>
      <c r="D15" s="27">
        <v>238</v>
      </c>
      <c r="E15" s="27">
        <v>287</v>
      </c>
      <c r="F15" s="27">
        <v>93</v>
      </c>
      <c r="G15" s="121">
        <f t="shared" ref="G15:G24" si="6">SUM(B15:F15)</f>
        <v>851</v>
      </c>
      <c r="H15" s="59">
        <v>0</v>
      </c>
      <c r="I15" s="60">
        <v>0</v>
      </c>
      <c r="J15" s="61">
        <v>1</v>
      </c>
      <c r="K15" s="62">
        <v>1</v>
      </c>
      <c r="L15" s="61">
        <v>1</v>
      </c>
      <c r="M15" s="335">
        <v>2</v>
      </c>
      <c r="N15" s="341">
        <f t="shared" si="3"/>
        <v>0.23501762632197415</v>
      </c>
      <c r="O15" s="62">
        <v>0</v>
      </c>
      <c r="P15" s="61">
        <v>1</v>
      </c>
      <c r="Q15" s="62">
        <v>5</v>
      </c>
      <c r="R15" s="62">
        <v>2</v>
      </c>
      <c r="S15" s="63">
        <v>1</v>
      </c>
      <c r="T15" s="335">
        <f t="shared" ref="T15:T24" si="7">SUM(O15:S15)</f>
        <v>9</v>
      </c>
      <c r="U15" s="212">
        <f t="shared" si="0"/>
        <v>1.0575793184488838</v>
      </c>
      <c r="V15" s="62">
        <v>0</v>
      </c>
      <c r="W15" s="62">
        <v>0</v>
      </c>
      <c r="X15" s="62">
        <v>1</v>
      </c>
      <c r="Y15" s="62">
        <v>1</v>
      </c>
      <c r="Z15" s="62">
        <v>0</v>
      </c>
      <c r="AA15" s="335">
        <f t="shared" ref="AA15:AA24" si="8">SUM(V15:Z15)</f>
        <v>2</v>
      </c>
      <c r="AB15" s="92">
        <f t="shared" si="1"/>
        <v>0.23501762632197415</v>
      </c>
      <c r="AC15" s="335">
        <v>1</v>
      </c>
      <c r="AD15" s="335">
        <v>0</v>
      </c>
      <c r="AE15" s="335">
        <v>12</v>
      </c>
    </row>
    <row r="16" spans="1:36" ht="15" thickBot="1" x14ac:dyDescent="0.25">
      <c r="A16" s="11" t="s">
        <v>6</v>
      </c>
      <c r="B16" s="28">
        <v>66</v>
      </c>
      <c r="C16" s="27">
        <v>27</v>
      </c>
      <c r="D16" s="27">
        <v>67</v>
      </c>
      <c r="E16" s="27">
        <v>51</v>
      </c>
      <c r="F16" s="27">
        <v>35</v>
      </c>
      <c r="G16" s="121">
        <f t="shared" si="6"/>
        <v>246</v>
      </c>
      <c r="H16" s="59">
        <v>1</v>
      </c>
      <c r="I16" s="60">
        <v>0</v>
      </c>
      <c r="J16" s="61">
        <v>0</v>
      </c>
      <c r="K16" s="62">
        <v>0</v>
      </c>
      <c r="L16" s="61">
        <v>0</v>
      </c>
      <c r="M16" s="335">
        <f t="shared" ref="M16:M24" si="9">SUM(H16:L16)</f>
        <v>1</v>
      </c>
      <c r="N16" s="341">
        <f t="shared" si="3"/>
        <v>0.4065040650406504</v>
      </c>
      <c r="O16" s="64">
        <v>0</v>
      </c>
      <c r="P16" s="64">
        <v>0</v>
      </c>
      <c r="Q16" s="62">
        <v>0</v>
      </c>
      <c r="R16" s="62">
        <v>1</v>
      </c>
      <c r="S16" s="63">
        <v>0</v>
      </c>
      <c r="T16" s="335">
        <f t="shared" si="7"/>
        <v>1</v>
      </c>
      <c r="U16" s="212">
        <f t="shared" si="0"/>
        <v>0.4065040650406504</v>
      </c>
      <c r="V16" s="62">
        <v>0</v>
      </c>
      <c r="W16" s="62">
        <v>0</v>
      </c>
      <c r="X16" s="62">
        <v>3</v>
      </c>
      <c r="Y16" s="62">
        <v>0</v>
      </c>
      <c r="Z16" s="62">
        <v>0</v>
      </c>
      <c r="AA16" s="335">
        <f t="shared" si="8"/>
        <v>3</v>
      </c>
      <c r="AB16" s="92">
        <f t="shared" si="1"/>
        <v>1.2195121951219512</v>
      </c>
      <c r="AC16" s="335">
        <v>0</v>
      </c>
      <c r="AD16" s="335">
        <v>0</v>
      </c>
      <c r="AE16" s="335">
        <v>5</v>
      </c>
    </row>
    <row r="17" spans="1:34" ht="15" thickBot="1" x14ac:dyDescent="0.25">
      <c r="A17" s="11" t="s">
        <v>7</v>
      </c>
      <c r="B17" s="27">
        <v>31</v>
      </c>
      <c r="C17" s="27">
        <v>13</v>
      </c>
      <c r="D17" s="27">
        <v>38</v>
      </c>
      <c r="E17" s="27">
        <v>24</v>
      </c>
      <c r="F17" s="27">
        <v>22</v>
      </c>
      <c r="G17" s="121">
        <f t="shared" si="6"/>
        <v>128</v>
      </c>
      <c r="H17" s="59">
        <v>0</v>
      </c>
      <c r="I17" s="60">
        <v>0</v>
      </c>
      <c r="J17" s="61">
        <v>0</v>
      </c>
      <c r="K17" s="62">
        <v>1</v>
      </c>
      <c r="L17" s="61">
        <v>0</v>
      </c>
      <c r="M17" s="335">
        <f t="shared" si="9"/>
        <v>1</v>
      </c>
      <c r="N17" s="341">
        <f t="shared" si="3"/>
        <v>0.78125</v>
      </c>
      <c r="O17" s="62">
        <v>0</v>
      </c>
      <c r="P17" s="62">
        <v>0</v>
      </c>
      <c r="Q17" s="62">
        <v>0</v>
      </c>
      <c r="R17" s="62">
        <v>0</v>
      </c>
      <c r="S17" s="63">
        <v>0</v>
      </c>
      <c r="T17" s="335">
        <f t="shared" si="7"/>
        <v>0</v>
      </c>
      <c r="U17" s="212">
        <f t="shared" si="0"/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335">
        <f t="shared" si="8"/>
        <v>0</v>
      </c>
      <c r="AB17" s="92">
        <f t="shared" si="1"/>
        <v>0</v>
      </c>
      <c r="AC17" s="335">
        <v>0</v>
      </c>
      <c r="AD17" s="335">
        <v>0</v>
      </c>
      <c r="AE17" s="335">
        <v>1</v>
      </c>
    </row>
    <row r="18" spans="1:34" ht="15" thickBot="1" x14ac:dyDescent="0.25">
      <c r="A18" s="11" t="s">
        <v>8</v>
      </c>
      <c r="B18" s="27">
        <v>7</v>
      </c>
      <c r="C18" s="27">
        <v>1</v>
      </c>
      <c r="D18" s="27">
        <v>5</v>
      </c>
      <c r="E18" s="27">
        <v>6</v>
      </c>
      <c r="F18" s="27">
        <v>3</v>
      </c>
      <c r="G18" s="121">
        <f t="shared" si="6"/>
        <v>22</v>
      </c>
      <c r="H18" s="59">
        <v>0</v>
      </c>
      <c r="I18" s="60">
        <v>0</v>
      </c>
      <c r="J18" s="61">
        <v>0</v>
      </c>
      <c r="K18" s="62">
        <v>0</v>
      </c>
      <c r="L18" s="61">
        <v>0</v>
      </c>
      <c r="M18" s="335">
        <f t="shared" si="9"/>
        <v>0</v>
      </c>
      <c r="N18" s="341">
        <f t="shared" si="3"/>
        <v>0</v>
      </c>
      <c r="O18" s="62">
        <v>0</v>
      </c>
      <c r="P18" s="62">
        <v>0</v>
      </c>
      <c r="Q18" s="62">
        <v>0</v>
      </c>
      <c r="R18" s="62">
        <v>0</v>
      </c>
      <c r="S18" s="61">
        <v>0</v>
      </c>
      <c r="T18" s="335">
        <f t="shared" si="7"/>
        <v>0</v>
      </c>
      <c r="U18" s="212">
        <f t="shared" si="0"/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335">
        <f t="shared" si="8"/>
        <v>0</v>
      </c>
      <c r="AB18" s="92">
        <f t="shared" si="1"/>
        <v>0</v>
      </c>
      <c r="AC18" s="335">
        <v>0</v>
      </c>
      <c r="AD18" s="335">
        <v>0</v>
      </c>
      <c r="AE18" s="335">
        <v>0</v>
      </c>
    </row>
    <row r="19" spans="1:34" ht="15" thickBot="1" x14ac:dyDescent="0.25">
      <c r="A19" s="11" t="s">
        <v>9</v>
      </c>
      <c r="B19" s="27">
        <v>19</v>
      </c>
      <c r="C19" s="27">
        <v>7</v>
      </c>
      <c r="D19" s="27">
        <v>19</v>
      </c>
      <c r="E19" s="27">
        <v>15</v>
      </c>
      <c r="F19" s="27">
        <v>7</v>
      </c>
      <c r="G19" s="121">
        <f t="shared" si="6"/>
        <v>67</v>
      </c>
      <c r="H19" s="59">
        <v>0</v>
      </c>
      <c r="I19" s="60">
        <v>0</v>
      </c>
      <c r="J19" s="61">
        <v>1</v>
      </c>
      <c r="K19" s="62">
        <v>0</v>
      </c>
      <c r="L19" s="61">
        <v>0</v>
      </c>
      <c r="M19" s="335">
        <f t="shared" si="9"/>
        <v>1</v>
      </c>
      <c r="N19" s="341">
        <f t="shared" si="3"/>
        <v>1.4925373134328359</v>
      </c>
      <c r="O19" s="62">
        <v>0</v>
      </c>
      <c r="P19" s="62">
        <v>0</v>
      </c>
      <c r="Q19" s="62">
        <v>0</v>
      </c>
      <c r="R19" s="62">
        <v>0</v>
      </c>
      <c r="S19" s="65">
        <v>0</v>
      </c>
      <c r="T19" s="335">
        <f t="shared" si="7"/>
        <v>0</v>
      </c>
      <c r="U19" s="212">
        <f t="shared" si="0"/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335">
        <f t="shared" si="8"/>
        <v>0</v>
      </c>
      <c r="AB19" s="92">
        <f t="shared" si="1"/>
        <v>0</v>
      </c>
      <c r="AC19" s="335">
        <v>0</v>
      </c>
      <c r="AD19" s="335">
        <v>0</v>
      </c>
      <c r="AE19" s="335">
        <v>0</v>
      </c>
    </row>
    <row r="20" spans="1:34" ht="15" thickBot="1" x14ac:dyDescent="0.25">
      <c r="A20" s="11" t="s">
        <v>10</v>
      </c>
      <c r="B20" s="27">
        <v>11</v>
      </c>
      <c r="C20" s="27">
        <v>6</v>
      </c>
      <c r="D20" s="27">
        <v>14</v>
      </c>
      <c r="E20" s="27">
        <v>21</v>
      </c>
      <c r="F20" s="27">
        <v>3</v>
      </c>
      <c r="G20" s="121">
        <f t="shared" si="6"/>
        <v>55</v>
      </c>
      <c r="H20" s="59">
        <v>0</v>
      </c>
      <c r="I20" s="60">
        <v>0</v>
      </c>
      <c r="J20" s="61">
        <v>0</v>
      </c>
      <c r="K20" s="62">
        <v>0</v>
      </c>
      <c r="L20" s="61">
        <v>0</v>
      </c>
      <c r="M20" s="335">
        <f t="shared" si="9"/>
        <v>0</v>
      </c>
      <c r="N20" s="341">
        <f t="shared" si="3"/>
        <v>0</v>
      </c>
      <c r="O20" s="62">
        <v>0</v>
      </c>
      <c r="P20" s="62">
        <v>0</v>
      </c>
      <c r="Q20" s="62">
        <v>0</v>
      </c>
      <c r="R20" s="62">
        <v>0</v>
      </c>
      <c r="S20" s="65">
        <v>0</v>
      </c>
      <c r="T20" s="335">
        <f t="shared" si="7"/>
        <v>0</v>
      </c>
      <c r="U20" s="212">
        <f t="shared" si="0"/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335">
        <f t="shared" si="8"/>
        <v>0</v>
      </c>
      <c r="AB20" s="92">
        <f t="shared" si="1"/>
        <v>0</v>
      </c>
      <c r="AC20" s="335">
        <v>0</v>
      </c>
      <c r="AD20" s="335">
        <v>0</v>
      </c>
      <c r="AE20" s="335">
        <v>0</v>
      </c>
    </row>
    <row r="21" spans="1:34" ht="15" thickBot="1" x14ac:dyDescent="0.25">
      <c r="A21" s="11" t="s">
        <v>11</v>
      </c>
      <c r="B21" s="27">
        <v>80</v>
      </c>
      <c r="C21" s="27">
        <v>6</v>
      </c>
      <c r="D21" s="27">
        <v>83</v>
      </c>
      <c r="E21" s="27">
        <v>114</v>
      </c>
      <c r="F21" s="27">
        <v>40</v>
      </c>
      <c r="G21" s="121">
        <f t="shared" si="6"/>
        <v>323</v>
      </c>
      <c r="H21" s="66">
        <v>0</v>
      </c>
      <c r="I21" s="66">
        <v>0</v>
      </c>
      <c r="J21" s="64">
        <v>0</v>
      </c>
      <c r="K21" s="62">
        <v>1</v>
      </c>
      <c r="L21" s="65">
        <v>0</v>
      </c>
      <c r="M21" s="335">
        <f t="shared" si="9"/>
        <v>1</v>
      </c>
      <c r="N21" s="341">
        <f t="shared" si="3"/>
        <v>0.30959752321981426</v>
      </c>
      <c r="O21" s="62">
        <v>0</v>
      </c>
      <c r="P21" s="62">
        <v>0</v>
      </c>
      <c r="Q21" s="62">
        <v>1</v>
      </c>
      <c r="R21" s="62">
        <v>2</v>
      </c>
      <c r="S21" s="64">
        <v>0</v>
      </c>
      <c r="T21" s="335">
        <f t="shared" si="7"/>
        <v>3</v>
      </c>
      <c r="U21" s="212">
        <f t="shared" si="0"/>
        <v>0.92879256965944268</v>
      </c>
      <c r="V21" s="62">
        <v>0</v>
      </c>
      <c r="W21" s="62">
        <v>0</v>
      </c>
      <c r="X21" s="62">
        <v>0</v>
      </c>
      <c r="Y21" s="62">
        <v>0</v>
      </c>
      <c r="Z21" s="62">
        <v>3</v>
      </c>
      <c r="AA21" s="335">
        <f t="shared" si="8"/>
        <v>3</v>
      </c>
      <c r="AB21" s="92">
        <f t="shared" si="1"/>
        <v>0.92879256965944268</v>
      </c>
      <c r="AC21" s="335">
        <v>0</v>
      </c>
      <c r="AD21" s="335">
        <v>0</v>
      </c>
      <c r="AE21" s="335">
        <v>6</v>
      </c>
    </row>
    <row r="22" spans="1:34" ht="15" thickBot="1" x14ac:dyDescent="0.25">
      <c r="A22" s="11" t="s">
        <v>12</v>
      </c>
      <c r="B22" s="27">
        <v>1287</v>
      </c>
      <c r="C22" s="27">
        <v>502</v>
      </c>
      <c r="D22" s="27">
        <v>1720</v>
      </c>
      <c r="E22" s="27">
        <v>1582</v>
      </c>
      <c r="F22" s="27">
        <v>794</v>
      </c>
      <c r="G22" s="121">
        <f t="shared" si="6"/>
        <v>5885</v>
      </c>
      <c r="H22" s="60">
        <v>6</v>
      </c>
      <c r="I22" s="62">
        <v>2</v>
      </c>
      <c r="J22" s="62">
        <v>6</v>
      </c>
      <c r="K22" s="62">
        <v>4</v>
      </c>
      <c r="L22" s="61">
        <v>3</v>
      </c>
      <c r="M22" s="335">
        <f t="shared" si="9"/>
        <v>21</v>
      </c>
      <c r="N22" s="341">
        <f t="shared" si="3"/>
        <v>0.356839422259983</v>
      </c>
      <c r="O22" s="62">
        <v>5</v>
      </c>
      <c r="P22" s="62">
        <v>2</v>
      </c>
      <c r="Q22" s="62">
        <v>5</v>
      </c>
      <c r="R22" s="62">
        <v>6</v>
      </c>
      <c r="S22" s="62">
        <v>3</v>
      </c>
      <c r="T22" s="335">
        <f t="shared" si="7"/>
        <v>21</v>
      </c>
      <c r="U22" s="212">
        <f t="shared" si="0"/>
        <v>0.356839422259983</v>
      </c>
      <c r="V22" s="62">
        <v>1</v>
      </c>
      <c r="W22" s="62">
        <v>1</v>
      </c>
      <c r="X22" s="62">
        <v>8</v>
      </c>
      <c r="Y22" s="62">
        <v>2</v>
      </c>
      <c r="Z22" s="62">
        <v>5</v>
      </c>
      <c r="AA22" s="335">
        <f t="shared" si="8"/>
        <v>17</v>
      </c>
      <c r="AB22" s="92">
        <f t="shared" si="1"/>
        <v>0.28887000849617672</v>
      </c>
      <c r="AC22" s="335">
        <v>9</v>
      </c>
      <c r="AD22" s="335">
        <v>3</v>
      </c>
      <c r="AE22" s="335">
        <v>94</v>
      </c>
    </row>
    <row r="23" spans="1:34" ht="15" thickBot="1" x14ac:dyDescent="0.25">
      <c r="A23" s="12" t="s">
        <v>13</v>
      </c>
      <c r="B23" s="29">
        <v>9</v>
      </c>
      <c r="C23" s="29">
        <v>2</v>
      </c>
      <c r="D23" s="27">
        <v>5</v>
      </c>
      <c r="E23" s="29">
        <v>1</v>
      </c>
      <c r="F23" s="27">
        <v>6</v>
      </c>
      <c r="G23" s="121">
        <f t="shared" si="6"/>
        <v>23</v>
      </c>
      <c r="H23" s="67">
        <v>0</v>
      </c>
      <c r="I23" s="68">
        <v>0</v>
      </c>
      <c r="J23" s="68">
        <v>0</v>
      </c>
      <c r="K23" s="68">
        <v>0</v>
      </c>
      <c r="L23" s="63">
        <v>0</v>
      </c>
      <c r="M23" s="335">
        <f t="shared" si="9"/>
        <v>0</v>
      </c>
      <c r="N23" s="341">
        <f t="shared" si="3"/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335">
        <f t="shared" si="7"/>
        <v>0</v>
      </c>
      <c r="U23" s="212">
        <f t="shared" si="0"/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335">
        <f t="shared" si="8"/>
        <v>0</v>
      </c>
      <c r="AB23" s="92">
        <f t="shared" si="1"/>
        <v>0</v>
      </c>
      <c r="AC23" s="335">
        <v>2</v>
      </c>
      <c r="AD23" s="335">
        <v>0</v>
      </c>
      <c r="AE23" s="335">
        <v>0</v>
      </c>
    </row>
    <row r="24" spans="1:34" ht="24.75" thickBot="1" x14ac:dyDescent="0.25">
      <c r="A24" s="18" t="s">
        <v>23</v>
      </c>
      <c r="B24" s="23">
        <v>469</v>
      </c>
      <c r="C24" s="23">
        <v>142</v>
      </c>
      <c r="D24" s="27">
        <v>551</v>
      </c>
      <c r="E24" s="23">
        <v>518</v>
      </c>
      <c r="F24" s="27">
        <v>207</v>
      </c>
      <c r="G24" s="121">
        <f t="shared" si="6"/>
        <v>1887</v>
      </c>
      <c r="H24" s="150">
        <v>0</v>
      </c>
      <c r="I24" s="68">
        <v>0</v>
      </c>
      <c r="J24" s="68">
        <v>0</v>
      </c>
      <c r="K24" s="68">
        <v>2</v>
      </c>
      <c r="L24" s="63">
        <v>1</v>
      </c>
      <c r="M24" s="335">
        <f t="shared" si="9"/>
        <v>3</v>
      </c>
      <c r="N24" s="96">
        <f t="shared" si="3"/>
        <v>0.1589825119236884</v>
      </c>
      <c r="O24" s="89">
        <v>0</v>
      </c>
      <c r="P24" s="68">
        <v>2</v>
      </c>
      <c r="Q24" s="89">
        <v>1</v>
      </c>
      <c r="R24" s="89">
        <v>2</v>
      </c>
      <c r="S24" s="68">
        <v>0</v>
      </c>
      <c r="T24" s="335">
        <f t="shared" si="7"/>
        <v>5</v>
      </c>
      <c r="U24" s="213">
        <f t="shared" si="0"/>
        <v>0.26497085320614733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335">
        <f t="shared" si="8"/>
        <v>0</v>
      </c>
      <c r="AB24" s="93">
        <f t="shared" si="1"/>
        <v>0</v>
      </c>
      <c r="AC24" s="335">
        <v>0</v>
      </c>
      <c r="AD24" s="335">
        <v>0</v>
      </c>
      <c r="AE24" s="335">
        <v>10</v>
      </c>
    </row>
    <row r="25" spans="1:34" ht="15.75" thickBot="1" x14ac:dyDescent="0.3">
      <c r="A25" s="13" t="s">
        <v>22</v>
      </c>
      <c r="B25" s="30">
        <f t="shared" ref="B25:I25" si="10">SUM(B14:B24)</f>
        <v>2190</v>
      </c>
      <c r="C25" s="30">
        <f t="shared" si="10"/>
        <v>751</v>
      </c>
      <c r="D25" s="30">
        <f t="shared" si="10"/>
        <v>2770</v>
      </c>
      <c r="E25" s="30">
        <f t="shared" si="10"/>
        <v>2656</v>
      </c>
      <c r="F25" s="30">
        <f t="shared" si="10"/>
        <v>1224</v>
      </c>
      <c r="G25" s="122">
        <f t="shared" si="10"/>
        <v>9591</v>
      </c>
      <c r="H25" s="71">
        <f t="shared" si="10"/>
        <v>7</v>
      </c>
      <c r="I25" s="72">
        <f t="shared" si="10"/>
        <v>2</v>
      </c>
      <c r="J25" s="72">
        <f t="shared" ref="J25:L25" si="11">SUM(J14:J24)</f>
        <v>8</v>
      </c>
      <c r="K25" s="72">
        <f t="shared" si="11"/>
        <v>9</v>
      </c>
      <c r="L25" s="72">
        <f t="shared" si="11"/>
        <v>5</v>
      </c>
      <c r="M25" s="325">
        <f>SUM(M14:M24)</f>
        <v>30</v>
      </c>
      <c r="N25" s="118">
        <f t="shared" si="3"/>
        <v>0.3127932436659368</v>
      </c>
      <c r="O25" s="116">
        <f t="shared" ref="O25:T25" si="12">SUM(O14:O24)</f>
        <v>5</v>
      </c>
      <c r="P25" s="116">
        <f t="shared" si="12"/>
        <v>5</v>
      </c>
      <c r="Q25" s="116">
        <f t="shared" si="12"/>
        <v>12</v>
      </c>
      <c r="R25" s="116">
        <f>SUM(R14:R24)</f>
        <v>13</v>
      </c>
      <c r="S25" s="116">
        <f t="shared" si="12"/>
        <v>4</v>
      </c>
      <c r="T25" s="328">
        <f t="shared" si="12"/>
        <v>39</v>
      </c>
      <c r="U25" s="214">
        <f t="shared" si="0"/>
        <v>0.40663121676571784</v>
      </c>
      <c r="V25" s="116">
        <f t="shared" ref="V25:AA25" si="13">SUM(V14:V24)</f>
        <v>1</v>
      </c>
      <c r="W25" s="116">
        <f t="shared" si="13"/>
        <v>1</v>
      </c>
      <c r="X25" s="116">
        <f t="shared" si="13"/>
        <v>12</v>
      </c>
      <c r="Y25" s="116">
        <f t="shared" si="13"/>
        <v>3</v>
      </c>
      <c r="Z25" s="116">
        <f t="shared" si="13"/>
        <v>8</v>
      </c>
      <c r="AA25" s="328">
        <f t="shared" si="13"/>
        <v>25</v>
      </c>
      <c r="AB25" s="94">
        <f t="shared" si="1"/>
        <v>0.2606610363882807</v>
      </c>
      <c r="AC25" s="132">
        <f>SUM(AC14:AC24)</f>
        <v>12</v>
      </c>
      <c r="AD25" s="115">
        <f>SUM(AD14:AD24)</f>
        <v>3</v>
      </c>
      <c r="AE25" s="115">
        <f>SUM(AE14:AE24)</f>
        <v>130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340"/>
      <c r="AC26" s="340"/>
      <c r="AD26" s="113"/>
      <c r="AE26" s="340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75"/>
      <c r="O27" s="74"/>
      <c r="P27" s="74"/>
      <c r="Q27" s="74"/>
      <c r="R27" s="74"/>
      <c r="S27" s="74"/>
      <c r="T27" s="88"/>
      <c r="U27" s="131"/>
      <c r="AA27" s="340"/>
      <c r="AC27" s="340"/>
      <c r="AD27" s="113"/>
      <c r="AE27" s="340"/>
    </row>
    <row r="28" spans="1:34" ht="15" thickBot="1" x14ac:dyDescent="0.25">
      <c r="A28" s="7" t="s">
        <v>15</v>
      </c>
      <c r="B28" s="22">
        <v>3398</v>
      </c>
      <c r="C28" s="22">
        <v>1973</v>
      </c>
      <c r="D28" s="22">
        <v>3362</v>
      </c>
      <c r="E28" s="22">
        <v>3371</v>
      </c>
      <c r="F28" s="22">
        <v>3095</v>
      </c>
      <c r="G28" s="121">
        <f>SUM(B28:F28)</f>
        <v>15199</v>
      </c>
      <c r="H28" s="44">
        <v>0</v>
      </c>
      <c r="I28" s="45">
        <v>1</v>
      </c>
      <c r="J28" s="45">
        <v>1</v>
      </c>
      <c r="K28" s="45">
        <v>2</v>
      </c>
      <c r="L28" s="342">
        <v>4</v>
      </c>
      <c r="M28" s="335">
        <f>SUM(H28:L28)</f>
        <v>8</v>
      </c>
      <c r="N28" s="77">
        <f t="shared" si="3"/>
        <v>5.2635041779064411E-2</v>
      </c>
      <c r="O28" s="45">
        <v>3</v>
      </c>
      <c r="P28" s="45">
        <v>1</v>
      </c>
      <c r="Q28" s="45">
        <v>2</v>
      </c>
      <c r="R28" s="45">
        <v>5</v>
      </c>
      <c r="S28" s="45">
        <v>1</v>
      </c>
      <c r="T28" s="373">
        <f>SUM(O28:S28)</f>
        <v>12</v>
      </c>
      <c r="U28" s="133">
        <f t="shared" si="0"/>
        <v>7.8952562668596613E-2</v>
      </c>
      <c r="V28" s="45">
        <v>1</v>
      </c>
      <c r="W28" s="45">
        <v>0</v>
      </c>
      <c r="X28" s="45">
        <v>3</v>
      </c>
      <c r="Y28" s="45">
        <v>3</v>
      </c>
      <c r="Z28" s="45">
        <v>0</v>
      </c>
      <c r="AA28" s="335">
        <f>SUM(V28:Z28)</f>
        <v>7</v>
      </c>
      <c r="AB28" s="92">
        <f t="shared" si="1"/>
        <v>4.6055661556681358E-2</v>
      </c>
      <c r="AC28" s="335">
        <v>1</v>
      </c>
      <c r="AD28" s="335">
        <v>0</v>
      </c>
      <c r="AE28" s="335">
        <v>33</v>
      </c>
    </row>
    <row r="29" spans="1:34" ht="15" thickBot="1" x14ac:dyDescent="0.25">
      <c r="A29" s="11" t="s">
        <v>16</v>
      </c>
      <c r="B29" s="27">
        <v>1362</v>
      </c>
      <c r="C29" s="27">
        <v>772</v>
      </c>
      <c r="D29" s="27">
        <v>1730</v>
      </c>
      <c r="E29" s="27">
        <v>1486</v>
      </c>
      <c r="F29" s="27">
        <v>1011</v>
      </c>
      <c r="G29" s="121">
        <f t="shared" ref="G29:G36" si="14">SUM(B29:F29)</f>
        <v>6361</v>
      </c>
      <c r="H29" s="60">
        <v>1</v>
      </c>
      <c r="I29" s="62">
        <v>1</v>
      </c>
      <c r="J29" s="62">
        <v>10</v>
      </c>
      <c r="K29" s="62">
        <v>7</v>
      </c>
      <c r="L29" s="61">
        <v>0</v>
      </c>
      <c r="M29" s="335">
        <f t="shared" ref="M29:M36" si="15">SUM(H29:L29)</f>
        <v>19</v>
      </c>
      <c r="N29" s="78">
        <f t="shared" si="3"/>
        <v>0.29869517371482474</v>
      </c>
      <c r="O29" s="62">
        <v>5</v>
      </c>
      <c r="P29" s="62">
        <v>4</v>
      </c>
      <c r="Q29" s="62">
        <v>5</v>
      </c>
      <c r="R29" s="62">
        <v>2</v>
      </c>
      <c r="S29" s="62">
        <v>1</v>
      </c>
      <c r="T29" s="335">
        <f t="shared" ref="T29:T36" si="16">SUM(O29:S29)</f>
        <v>17</v>
      </c>
      <c r="U29" s="92">
        <f t="shared" si="0"/>
        <v>0.2672535764816853</v>
      </c>
      <c r="V29" s="62">
        <v>2</v>
      </c>
      <c r="W29" s="62">
        <v>7</v>
      </c>
      <c r="X29" s="62">
        <v>7</v>
      </c>
      <c r="Y29" s="62">
        <v>3</v>
      </c>
      <c r="Z29" s="62">
        <v>0</v>
      </c>
      <c r="AA29" s="335">
        <f t="shared" ref="AA29:AA36" si="17">SUM(V29:Z29)</f>
        <v>19</v>
      </c>
      <c r="AB29" s="92">
        <f t="shared" si="1"/>
        <v>0.29869517371482474</v>
      </c>
      <c r="AC29" s="335">
        <v>9</v>
      </c>
      <c r="AD29" s="335">
        <v>2</v>
      </c>
      <c r="AE29" s="335">
        <v>59</v>
      </c>
    </row>
    <row r="30" spans="1:34" ht="15" thickBot="1" x14ac:dyDescent="0.25">
      <c r="A30" s="11" t="s">
        <v>35</v>
      </c>
      <c r="B30" s="27">
        <v>1033</v>
      </c>
      <c r="C30" s="27">
        <v>660</v>
      </c>
      <c r="D30" s="27">
        <v>899</v>
      </c>
      <c r="E30" s="27">
        <v>829</v>
      </c>
      <c r="F30" s="27">
        <v>1311</v>
      </c>
      <c r="G30" s="121">
        <f t="shared" si="14"/>
        <v>4732</v>
      </c>
      <c r="H30" s="60">
        <v>0</v>
      </c>
      <c r="I30" s="62">
        <v>0</v>
      </c>
      <c r="J30" s="62">
        <v>1</v>
      </c>
      <c r="K30" s="62">
        <v>4</v>
      </c>
      <c r="L30" s="61">
        <v>1</v>
      </c>
      <c r="M30" s="335">
        <f t="shared" si="15"/>
        <v>6</v>
      </c>
      <c r="N30" s="78">
        <f t="shared" si="3"/>
        <v>0.12679628064243448</v>
      </c>
      <c r="O30" s="62">
        <v>3</v>
      </c>
      <c r="P30" s="62">
        <v>1</v>
      </c>
      <c r="Q30" s="62">
        <v>9</v>
      </c>
      <c r="R30" s="62">
        <v>10</v>
      </c>
      <c r="S30" s="62">
        <v>2</v>
      </c>
      <c r="T30" s="335">
        <f t="shared" si="16"/>
        <v>25</v>
      </c>
      <c r="U30" s="92">
        <f t="shared" si="0"/>
        <v>0.5283178360101437</v>
      </c>
      <c r="V30" s="62">
        <v>1</v>
      </c>
      <c r="W30" s="62">
        <v>0</v>
      </c>
      <c r="X30" s="62">
        <v>0</v>
      </c>
      <c r="Y30" s="62">
        <v>1</v>
      </c>
      <c r="Z30" s="62">
        <v>1</v>
      </c>
      <c r="AA30" s="335">
        <f t="shared" si="17"/>
        <v>3</v>
      </c>
      <c r="AB30" s="92">
        <f t="shared" si="1"/>
        <v>6.3398140321217239E-2</v>
      </c>
      <c r="AC30" s="335">
        <v>5</v>
      </c>
      <c r="AD30" s="335">
        <v>0</v>
      </c>
      <c r="AE30" s="335">
        <v>25</v>
      </c>
    </row>
    <row r="31" spans="1:34" ht="15" thickBot="1" x14ac:dyDescent="0.25">
      <c r="A31" s="11" t="s">
        <v>17</v>
      </c>
      <c r="B31" s="27">
        <v>7283</v>
      </c>
      <c r="C31" s="27">
        <v>4050</v>
      </c>
      <c r="D31" s="27">
        <v>8573</v>
      </c>
      <c r="E31" s="27">
        <v>7544</v>
      </c>
      <c r="F31" s="27">
        <v>6295</v>
      </c>
      <c r="G31" s="121">
        <f t="shared" si="14"/>
        <v>33745</v>
      </c>
      <c r="H31" s="60">
        <v>1</v>
      </c>
      <c r="I31" s="62">
        <v>1</v>
      </c>
      <c r="J31" s="62">
        <v>4</v>
      </c>
      <c r="K31" s="62">
        <v>7</v>
      </c>
      <c r="L31" s="61">
        <v>1</v>
      </c>
      <c r="M31" s="335">
        <f t="shared" si="15"/>
        <v>14</v>
      </c>
      <c r="N31" s="78">
        <f t="shared" si="3"/>
        <v>4.1487627796710627E-2</v>
      </c>
      <c r="O31" s="62">
        <v>5</v>
      </c>
      <c r="P31" s="62">
        <v>1</v>
      </c>
      <c r="Q31" s="62">
        <v>10</v>
      </c>
      <c r="R31" s="62">
        <v>12</v>
      </c>
      <c r="S31" s="62">
        <v>3</v>
      </c>
      <c r="T31" s="335">
        <f t="shared" si="16"/>
        <v>31</v>
      </c>
      <c r="U31" s="92">
        <f t="shared" si="0"/>
        <v>9.1865461549859237E-2</v>
      </c>
      <c r="V31" s="62">
        <v>0</v>
      </c>
      <c r="W31" s="62">
        <v>0</v>
      </c>
      <c r="X31" s="62">
        <v>3</v>
      </c>
      <c r="Y31" s="62">
        <v>4</v>
      </c>
      <c r="Z31" s="62">
        <v>1</v>
      </c>
      <c r="AA31" s="335">
        <f t="shared" si="17"/>
        <v>8</v>
      </c>
      <c r="AB31" s="92">
        <f t="shared" si="1"/>
        <v>2.3707215883834641E-2</v>
      </c>
      <c r="AC31" s="335">
        <v>8</v>
      </c>
      <c r="AD31" s="335">
        <v>0</v>
      </c>
      <c r="AE31" s="335">
        <v>117</v>
      </c>
      <c r="AH31" t="s">
        <v>53</v>
      </c>
    </row>
    <row r="32" spans="1:34" ht="15" thickBot="1" x14ac:dyDescent="0.25">
      <c r="A32" s="11" t="s">
        <v>18</v>
      </c>
      <c r="B32" s="27">
        <v>1769</v>
      </c>
      <c r="C32" s="27">
        <v>1462</v>
      </c>
      <c r="D32" s="27">
        <v>1306</v>
      </c>
      <c r="E32" s="27">
        <v>1398</v>
      </c>
      <c r="F32" s="27">
        <v>2669</v>
      </c>
      <c r="G32" s="121">
        <f t="shared" si="14"/>
        <v>8604</v>
      </c>
      <c r="H32" s="60">
        <v>2</v>
      </c>
      <c r="I32" s="62">
        <v>0</v>
      </c>
      <c r="J32" s="62">
        <v>5</v>
      </c>
      <c r="K32" s="62">
        <v>3</v>
      </c>
      <c r="L32" s="61">
        <v>4</v>
      </c>
      <c r="M32" s="335">
        <f t="shared" si="15"/>
        <v>14</v>
      </c>
      <c r="N32" s="78">
        <f t="shared" si="3"/>
        <v>0.16271501627150162</v>
      </c>
      <c r="O32" s="62">
        <v>2</v>
      </c>
      <c r="P32" s="62">
        <v>1</v>
      </c>
      <c r="Q32" s="62">
        <v>4</v>
      </c>
      <c r="R32" s="62">
        <v>2</v>
      </c>
      <c r="S32" s="62">
        <v>9</v>
      </c>
      <c r="T32" s="335">
        <f t="shared" si="16"/>
        <v>18</v>
      </c>
      <c r="U32" s="92">
        <f t="shared" si="0"/>
        <v>0.20920502092050208</v>
      </c>
      <c r="V32" s="62">
        <v>0</v>
      </c>
      <c r="W32" s="62">
        <v>0</v>
      </c>
      <c r="X32" s="62">
        <v>1</v>
      </c>
      <c r="Y32" s="62">
        <v>2</v>
      </c>
      <c r="Z32" s="62">
        <v>3</v>
      </c>
      <c r="AA32" s="335">
        <f t="shared" si="17"/>
        <v>6</v>
      </c>
      <c r="AB32" s="92">
        <f t="shared" si="1"/>
        <v>6.9735006973500699E-2</v>
      </c>
      <c r="AC32" s="335">
        <v>11</v>
      </c>
      <c r="AD32" s="335">
        <v>2</v>
      </c>
      <c r="AE32" s="335">
        <v>28</v>
      </c>
    </row>
    <row r="33" spans="1:32" ht="15" thickBot="1" x14ac:dyDescent="0.25">
      <c r="A33" s="11" t="s">
        <v>19</v>
      </c>
      <c r="B33" s="27">
        <v>10143</v>
      </c>
      <c r="C33" s="27">
        <v>5467</v>
      </c>
      <c r="D33" s="27">
        <v>11145</v>
      </c>
      <c r="E33" s="27">
        <v>9644</v>
      </c>
      <c r="F33" s="27">
        <v>7232</v>
      </c>
      <c r="G33" s="121">
        <f t="shared" si="14"/>
        <v>43631</v>
      </c>
      <c r="H33" s="60">
        <v>25</v>
      </c>
      <c r="I33" s="62">
        <v>17</v>
      </c>
      <c r="J33" s="62">
        <v>32</v>
      </c>
      <c r="K33" s="62">
        <v>32</v>
      </c>
      <c r="L33" s="61">
        <v>7</v>
      </c>
      <c r="M33" s="335">
        <f t="shared" si="15"/>
        <v>113</v>
      </c>
      <c r="N33" s="78">
        <f t="shared" si="3"/>
        <v>0.25899016754142695</v>
      </c>
      <c r="O33" s="62">
        <v>23</v>
      </c>
      <c r="P33" s="62">
        <v>17</v>
      </c>
      <c r="Q33" s="62">
        <v>72</v>
      </c>
      <c r="R33" s="62">
        <v>40</v>
      </c>
      <c r="S33" s="62">
        <v>16</v>
      </c>
      <c r="T33" s="335">
        <f t="shared" si="16"/>
        <v>168</v>
      </c>
      <c r="U33" s="92">
        <f t="shared" si="0"/>
        <v>0.38504732873415692</v>
      </c>
      <c r="V33" s="62">
        <v>1</v>
      </c>
      <c r="W33" s="62">
        <v>11</v>
      </c>
      <c r="X33" s="62">
        <v>30</v>
      </c>
      <c r="Y33" s="62">
        <v>10</v>
      </c>
      <c r="Z33" s="62">
        <v>9</v>
      </c>
      <c r="AA33" s="335">
        <f t="shared" si="17"/>
        <v>61</v>
      </c>
      <c r="AB33" s="92">
        <f t="shared" si="1"/>
        <v>0.13980885150466413</v>
      </c>
      <c r="AC33" s="335">
        <v>47</v>
      </c>
      <c r="AD33" s="335">
        <v>4</v>
      </c>
      <c r="AE33" s="335">
        <v>321</v>
      </c>
    </row>
    <row r="34" spans="1:32" ht="15" thickBot="1" x14ac:dyDescent="0.25">
      <c r="A34" s="11" t="s">
        <v>20</v>
      </c>
      <c r="B34" s="27">
        <v>8096</v>
      </c>
      <c r="C34" s="27">
        <v>4259</v>
      </c>
      <c r="D34" s="27">
        <v>9078</v>
      </c>
      <c r="E34" s="27">
        <v>8425</v>
      </c>
      <c r="F34" s="27">
        <v>4651</v>
      </c>
      <c r="G34" s="121">
        <f t="shared" si="14"/>
        <v>34509</v>
      </c>
      <c r="H34" s="60">
        <v>7</v>
      </c>
      <c r="I34" s="62">
        <v>5</v>
      </c>
      <c r="J34" s="62">
        <v>18</v>
      </c>
      <c r="K34" s="62">
        <v>20</v>
      </c>
      <c r="L34" s="61">
        <v>8</v>
      </c>
      <c r="M34" s="335">
        <f t="shared" si="15"/>
        <v>58</v>
      </c>
      <c r="N34" s="78">
        <f t="shared" si="3"/>
        <v>0.16807209713408097</v>
      </c>
      <c r="O34" s="62">
        <v>10</v>
      </c>
      <c r="P34" s="62">
        <v>11</v>
      </c>
      <c r="Q34" s="62">
        <v>22</v>
      </c>
      <c r="R34" s="62">
        <v>18</v>
      </c>
      <c r="S34" s="62">
        <v>2</v>
      </c>
      <c r="T34" s="335">
        <f t="shared" si="16"/>
        <v>63</v>
      </c>
      <c r="U34" s="92">
        <f t="shared" si="0"/>
        <v>0.18256107102495001</v>
      </c>
      <c r="V34" s="62">
        <v>7</v>
      </c>
      <c r="W34" s="62">
        <v>2</v>
      </c>
      <c r="X34" s="62">
        <v>13</v>
      </c>
      <c r="Y34" s="62">
        <v>8</v>
      </c>
      <c r="Z34" s="62">
        <v>3</v>
      </c>
      <c r="AA34" s="335">
        <f t="shared" si="17"/>
        <v>33</v>
      </c>
      <c r="AB34" s="92">
        <f t="shared" si="1"/>
        <v>9.5627227679735721E-2</v>
      </c>
      <c r="AC34" s="335">
        <v>25</v>
      </c>
      <c r="AD34" s="335">
        <v>9</v>
      </c>
      <c r="AE34" s="335">
        <v>266</v>
      </c>
    </row>
    <row r="35" spans="1:32" ht="15" thickBot="1" x14ac:dyDescent="0.25">
      <c r="A35" s="11" t="s">
        <v>25</v>
      </c>
      <c r="B35" s="27">
        <v>8096</v>
      </c>
      <c r="C35" s="27">
        <v>78</v>
      </c>
      <c r="D35" s="27">
        <v>68</v>
      </c>
      <c r="E35" s="27">
        <v>88</v>
      </c>
      <c r="F35" s="27">
        <v>37</v>
      </c>
      <c r="G35" s="121">
        <f t="shared" si="14"/>
        <v>8367</v>
      </c>
      <c r="H35" s="60">
        <v>0</v>
      </c>
      <c r="I35" s="62">
        <v>9</v>
      </c>
      <c r="J35" s="62">
        <v>0</v>
      </c>
      <c r="K35" s="62">
        <v>2</v>
      </c>
      <c r="L35" s="61">
        <v>0</v>
      </c>
      <c r="M35" s="335">
        <f t="shared" si="15"/>
        <v>11</v>
      </c>
      <c r="N35" s="78">
        <f t="shared" si="3"/>
        <v>0.13146886578223976</v>
      </c>
      <c r="O35" s="62">
        <v>1</v>
      </c>
      <c r="P35" s="62">
        <v>8</v>
      </c>
      <c r="Q35" s="62">
        <v>1</v>
      </c>
      <c r="R35" s="62">
        <v>0</v>
      </c>
      <c r="S35" s="62">
        <v>0</v>
      </c>
      <c r="T35" s="335">
        <f t="shared" si="16"/>
        <v>10</v>
      </c>
      <c r="U35" s="92">
        <f t="shared" si="0"/>
        <v>0.11951715071112705</v>
      </c>
      <c r="V35" s="62">
        <v>0</v>
      </c>
      <c r="W35" s="62">
        <v>0</v>
      </c>
      <c r="X35" s="62">
        <v>0</v>
      </c>
      <c r="Y35" s="62">
        <v>7</v>
      </c>
      <c r="Z35" s="62">
        <v>0</v>
      </c>
      <c r="AA35" s="335">
        <f t="shared" si="17"/>
        <v>7</v>
      </c>
      <c r="AB35" s="92">
        <f t="shared" si="1"/>
        <v>8.3662005497788933E-2</v>
      </c>
      <c r="AC35" s="335">
        <v>5</v>
      </c>
      <c r="AD35" s="335">
        <v>0</v>
      </c>
      <c r="AE35" s="335">
        <v>33</v>
      </c>
    </row>
    <row r="36" spans="1:32" ht="15" thickBot="1" x14ac:dyDescent="0.25">
      <c r="A36" s="12" t="s">
        <v>26</v>
      </c>
      <c r="B36" s="29">
        <v>74099</v>
      </c>
      <c r="C36" s="29">
        <v>45912</v>
      </c>
      <c r="D36" s="27">
        <v>99579</v>
      </c>
      <c r="E36" s="29">
        <v>90576</v>
      </c>
      <c r="F36" s="29">
        <v>62497</v>
      </c>
      <c r="G36" s="121">
        <f t="shared" si="14"/>
        <v>372663</v>
      </c>
      <c r="H36" s="67">
        <v>68</v>
      </c>
      <c r="I36" s="68">
        <v>58</v>
      </c>
      <c r="J36" s="68">
        <v>186</v>
      </c>
      <c r="K36" s="68">
        <v>154</v>
      </c>
      <c r="L36" s="63">
        <v>49</v>
      </c>
      <c r="M36" s="335">
        <f t="shared" si="15"/>
        <v>515</v>
      </c>
      <c r="N36" s="96">
        <f t="shared" si="3"/>
        <v>0.13819456184273726</v>
      </c>
      <c r="O36" s="68">
        <v>131</v>
      </c>
      <c r="P36" s="68">
        <v>89</v>
      </c>
      <c r="Q36" s="68">
        <v>261</v>
      </c>
      <c r="R36" s="68">
        <v>180</v>
      </c>
      <c r="S36" s="68">
        <v>58</v>
      </c>
      <c r="T36" s="335">
        <f t="shared" si="16"/>
        <v>719</v>
      </c>
      <c r="U36" s="142">
        <f t="shared" si="0"/>
        <v>0.19293570866976331</v>
      </c>
      <c r="V36" s="68">
        <v>27</v>
      </c>
      <c r="W36" s="68">
        <v>19</v>
      </c>
      <c r="X36" s="68">
        <v>117</v>
      </c>
      <c r="Y36" s="68">
        <v>74</v>
      </c>
      <c r="Z36" s="68">
        <v>45</v>
      </c>
      <c r="AA36" s="335">
        <f t="shared" si="17"/>
        <v>282</v>
      </c>
      <c r="AB36" s="93">
        <f t="shared" si="1"/>
        <v>7.5671585319712451E-2</v>
      </c>
      <c r="AC36" s="335">
        <v>120</v>
      </c>
      <c r="AD36" s="335">
        <v>55</v>
      </c>
      <c r="AE36" s="335">
        <v>2550</v>
      </c>
    </row>
    <row r="37" spans="1:32" ht="15.75" thickBot="1" x14ac:dyDescent="0.3">
      <c r="A37" s="13" t="s">
        <v>21</v>
      </c>
      <c r="B37" s="30">
        <f t="shared" ref="B37:M37" si="18">SUM(B28:B36)</f>
        <v>115279</v>
      </c>
      <c r="C37" s="30">
        <f t="shared" si="18"/>
        <v>64633</v>
      </c>
      <c r="D37" s="30">
        <f t="shared" si="18"/>
        <v>135740</v>
      </c>
      <c r="E37" s="30">
        <f>SUM(E28:E36)</f>
        <v>123361</v>
      </c>
      <c r="F37" s="30">
        <f t="shared" si="18"/>
        <v>88798</v>
      </c>
      <c r="G37" s="122">
        <f t="shared" si="18"/>
        <v>527811</v>
      </c>
      <c r="H37" s="71">
        <f t="shared" si="18"/>
        <v>104</v>
      </c>
      <c r="I37" s="72">
        <f t="shared" si="18"/>
        <v>92</v>
      </c>
      <c r="J37" s="72">
        <f t="shared" si="18"/>
        <v>257</v>
      </c>
      <c r="K37" s="72">
        <f>SUM(K28:K36)</f>
        <v>231</v>
      </c>
      <c r="L37" s="72">
        <f t="shared" si="18"/>
        <v>74</v>
      </c>
      <c r="M37" s="325">
        <f t="shared" si="18"/>
        <v>758</v>
      </c>
      <c r="N37" s="118">
        <f t="shared" si="3"/>
        <v>0.14361201263331003</v>
      </c>
      <c r="O37" s="116">
        <f t="shared" ref="O37:T37" si="19">SUM(O28:O36)</f>
        <v>183</v>
      </c>
      <c r="P37" s="116">
        <f t="shared" si="19"/>
        <v>133</v>
      </c>
      <c r="Q37" s="116">
        <f t="shared" si="19"/>
        <v>386</v>
      </c>
      <c r="R37" s="116">
        <f>SUM(R28:R36)</f>
        <v>269</v>
      </c>
      <c r="S37" s="116">
        <f t="shared" si="19"/>
        <v>92</v>
      </c>
      <c r="T37" s="328">
        <f t="shared" si="19"/>
        <v>1063</v>
      </c>
      <c r="U37" s="91">
        <f t="shared" si="0"/>
        <v>0.20139784885119863</v>
      </c>
      <c r="V37" s="116">
        <f t="shared" ref="V37:AA37" si="20">SUM(V28:V36)</f>
        <v>39</v>
      </c>
      <c r="W37" s="116">
        <f t="shared" si="20"/>
        <v>39</v>
      </c>
      <c r="X37" s="116">
        <f t="shared" si="20"/>
        <v>174</v>
      </c>
      <c r="Y37" s="116">
        <f>SUM(Y28:Y36)</f>
        <v>112</v>
      </c>
      <c r="Z37" s="116">
        <f t="shared" si="20"/>
        <v>62</v>
      </c>
      <c r="AA37" s="328">
        <f t="shared" si="20"/>
        <v>426</v>
      </c>
      <c r="AB37" s="94">
        <f t="shared" si="1"/>
        <v>8.0710708946952606E-2</v>
      </c>
      <c r="AC37" s="132">
        <f>SUM(AC28:AC36)</f>
        <v>231</v>
      </c>
      <c r="AD37" s="115">
        <f>SUM(AD28:AD36)</f>
        <v>72</v>
      </c>
      <c r="AE37" s="117">
        <f>SUM(AE28:AE36)</f>
        <v>3432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340"/>
      <c r="AC38" s="340"/>
      <c r="AD38" s="340"/>
      <c r="AE38" s="340"/>
    </row>
    <row r="39" spans="1:32" ht="15.75" thickBot="1" x14ac:dyDescent="0.3">
      <c r="A39" s="15" t="s">
        <v>28</v>
      </c>
      <c r="B39" s="32"/>
      <c r="C39" s="32"/>
      <c r="D39" s="32"/>
      <c r="E39" s="32"/>
      <c r="F39" s="32"/>
      <c r="G39" s="126"/>
      <c r="H39" s="80"/>
      <c r="I39" s="80"/>
      <c r="J39" s="80"/>
      <c r="K39" s="80"/>
      <c r="L39" s="81"/>
      <c r="M39" s="82"/>
      <c r="N39" s="129"/>
      <c r="O39" s="80"/>
      <c r="P39" s="80"/>
      <c r="Q39" s="80"/>
      <c r="R39" s="80"/>
      <c r="S39" s="80"/>
      <c r="T39" s="79"/>
      <c r="U39" s="131"/>
      <c r="AA39" s="340"/>
      <c r="AC39" s="340"/>
      <c r="AD39" s="340"/>
      <c r="AE39" s="340"/>
    </row>
    <row r="40" spans="1:32" ht="15.75" thickBot="1" x14ac:dyDescent="0.3">
      <c r="A40" s="7" t="s">
        <v>41</v>
      </c>
      <c r="B40" s="27">
        <v>168</v>
      </c>
      <c r="C40" s="27">
        <v>99</v>
      </c>
      <c r="D40" s="27">
        <v>166</v>
      </c>
      <c r="E40" s="317">
        <v>172</v>
      </c>
      <c r="F40" s="317">
        <v>79</v>
      </c>
      <c r="G40" s="127">
        <f>SUM(B40:F40)</f>
        <v>684</v>
      </c>
      <c r="H40" s="44">
        <v>2</v>
      </c>
      <c r="I40" s="45">
        <v>0</v>
      </c>
      <c r="J40" s="45">
        <v>2</v>
      </c>
      <c r="K40" s="45">
        <v>0</v>
      </c>
      <c r="L40" s="83">
        <v>0</v>
      </c>
      <c r="M40" s="335">
        <v>4</v>
      </c>
      <c r="N40" s="144">
        <f t="shared" si="3"/>
        <v>0.58479532163742687</v>
      </c>
      <c r="O40" s="45">
        <v>2</v>
      </c>
      <c r="P40" s="45">
        <v>1</v>
      </c>
      <c r="Q40" s="45">
        <v>4</v>
      </c>
      <c r="R40" s="45">
        <v>1</v>
      </c>
      <c r="S40" s="45">
        <v>4</v>
      </c>
      <c r="T40" s="335">
        <f>SUM(O40:S40)</f>
        <v>12</v>
      </c>
      <c r="U40" s="306">
        <f t="shared" si="0"/>
        <v>1.7543859649122806</v>
      </c>
      <c r="V40" s="307">
        <v>1</v>
      </c>
      <c r="W40" s="307">
        <v>0</v>
      </c>
      <c r="X40" s="307">
        <v>0</v>
      </c>
      <c r="Y40" s="307">
        <v>0</v>
      </c>
      <c r="Z40" s="165">
        <v>0</v>
      </c>
      <c r="AA40" s="335">
        <f>SUM(V40:Z40)</f>
        <v>1</v>
      </c>
      <c r="AB40" s="91">
        <f t="shared" si="1"/>
        <v>0.14619883040935672</v>
      </c>
      <c r="AC40" s="343">
        <v>1</v>
      </c>
      <c r="AD40" s="343">
        <v>1</v>
      </c>
      <c r="AE40" s="343">
        <v>8</v>
      </c>
    </row>
    <row r="41" spans="1:32" ht="15.75" thickBot="1" x14ac:dyDescent="0.3">
      <c r="A41" s="12" t="s">
        <v>27</v>
      </c>
      <c r="B41" s="319">
        <v>62164</v>
      </c>
      <c r="C41" s="319">
        <v>47902</v>
      </c>
      <c r="D41" s="323">
        <v>50939</v>
      </c>
      <c r="E41" s="320">
        <v>72203</v>
      </c>
      <c r="F41" s="320">
        <v>68975</v>
      </c>
      <c r="G41" s="127">
        <f>SUM(B41:F41)</f>
        <v>302183</v>
      </c>
      <c r="H41" s="67">
        <v>23</v>
      </c>
      <c r="I41" s="68">
        <v>11</v>
      </c>
      <c r="J41" s="68">
        <v>69</v>
      </c>
      <c r="K41" s="68">
        <v>36</v>
      </c>
      <c r="L41" s="63">
        <v>12</v>
      </c>
      <c r="M41" s="335">
        <f>SUM(H41:L41)</f>
        <v>151</v>
      </c>
      <c r="N41" s="145">
        <f t="shared" si="3"/>
        <v>4.9969720335028771E-2</v>
      </c>
      <c r="O41" s="68">
        <v>12</v>
      </c>
      <c r="P41" s="68">
        <v>8</v>
      </c>
      <c r="Q41" s="68">
        <v>35</v>
      </c>
      <c r="R41" s="68">
        <v>22</v>
      </c>
      <c r="S41" s="68">
        <v>7</v>
      </c>
      <c r="T41" s="335">
        <f>SUM(O41:S41)</f>
        <v>84</v>
      </c>
      <c r="U41" s="213">
        <f t="shared" si="0"/>
        <v>2.7797725219486206E-2</v>
      </c>
      <c r="V41" s="313">
        <v>2</v>
      </c>
      <c r="W41" s="313">
        <v>3</v>
      </c>
      <c r="X41" s="314">
        <v>20</v>
      </c>
      <c r="Y41" s="314">
        <v>13</v>
      </c>
      <c r="Z41">
        <v>5</v>
      </c>
      <c r="AA41" s="374">
        <f>SUM(V41:Z41)</f>
        <v>43</v>
      </c>
      <c r="AB41" s="93">
        <f t="shared" si="1"/>
        <v>1.4229787909975082E-2</v>
      </c>
      <c r="AC41" s="344">
        <v>15</v>
      </c>
      <c r="AD41" s="344">
        <v>7</v>
      </c>
      <c r="AE41" s="344">
        <v>482</v>
      </c>
    </row>
    <row r="42" spans="1:32" ht="15.75" thickBot="1" x14ac:dyDescent="0.3">
      <c r="A42" s="13" t="s">
        <v>21</v>
      </c>
      <c r="B42" s="318">
        <f>SUM(B40:B41)</f>
        <v>62332</v>
      </c>
      <c r="C42" s="318">
        <f>SUM(C40:C41)</f>
        <v>48001</v>
      </c>
      <c r="D42" s="318">
        <f>SUM(D40:D41)</f>
        <v>51105</v>
      </c>
      <c r="E42" s="318">
        <f>SUM(E40:E41)</f>
        <v>72375</v>
      </c>
      <c r="F42" s="318">
        <f>SUM(F40:F41)</f>
        <v>69054</v>
      </c>
      <c r="G42" s="308">
        <f t="shared" ref="G42:M42" si="21">SUM(G40:G41)</f>
        <v>302867</v>
      </c>
      <c r="H42" s="120">
        <v>25</v>
      </c>
      <c r="I42" s="120">
        <f>SUM(I40:I41)</f>
        <v>11</v>
      </c>
      <c r="J42" s="120">
        <v>71</v>
      </c>
      <c r="K42" s="120">
        <f>SUM(K40:K41)</f>
        <v>36</v>
      </c>
      <c r="L42" s="120">
        <f>SUM(L40:L41)</f>
        <v>12</v>
      </c>
      <c r="M42" s="328">
        <f t="shared" si="21"/>
        <v>155</v>
      </c>
      <c r="N42" s="149">
        <f t="shared" si="3"/>
        <v>5.117757959764517E-2</v>
      </c>
      <c r="O42" s="72">
        <f>SUM(O40:O41)</f>
        <v>14</v>
      </c>
      <c r="P42" s="72">
        <f>SUM(P40:P41)</f>
        <v>9</v>
      </c>
      <c r="Q42" s="72">
        <f>SUM(Q40:Q41)</f>
        <v>39</v>
      </c>
      <c r="R42" s="72">
        <f>SUM(R40:R41)</f>
        <v>23</v>
      </c>
      <c r="S42" s="72">
        <v>10</v>
      </c>
      <c r="T42" s="329">
        <f>SUM(T40:T41)</f>
        <v>96</v>
      </c>
      <c r="U42" s="214">
        <f t="shared" si="0"/>
        <v>3.1697081557251205E-2</v>
      </c>
      <c r="V42" s="316">
        <f t="shared" ref="V42:AA42" si="22">SUM(V40:V41)</f>
        <v>3</v>
      </c>
      <c r="W42" s="316">
        <f t="shared" si="22"/>
        <v>3</v>
      </c>
      <c r="X42" s="316">
        <f t="shared" si="22"/>
        <v>20</v>
      </c>
      <c r="Y42" s="316">
        <f>SUM(Y40:Y41)</f>
        <v>13</v>
      </c>
      <c r="Z42" s="316">
        <f t="shared" si="22"/>
        <v>5</v>
      </c>
      <c r="AA42" s="330">
        <f t="shared" si="22"/>
        <v>44</v>
      </c>
      <c r="AB42" s="375">
        <f t="shared" si="1"/>
        <v>1.4527829047073467E-2</v>
      </c>
      <c r="AC42" s="115">
        <f>SUM(AC40:AC41)</f>
        <v>16</v>
      </c>
      <c r="AD42" s="132">
        <f>SUM(AD40:AD41)</f>
        <v>8</v>
      </c>
      <c r="AE42" s="132">
        <f>SUM(AE40:AE41)</f>
        <v>490</v>
      </c>
    </row>
    <row r="43" spans="1:32" ht="15.75" thickBot="1" x14ac:dyDescent="0.3">
      <c r="A43" s="134" t="s">
        <v>49</v>
      </c>
      <c r="B43" s="310">
        <f>B11+B25+B37+B42</f>
        <v>181907</v>
      </c>
      <c r="C43" s="321">
        <f>C11+C25+C37+C42</f>
        <v>113862</v>
      </c>
      <c r="D43" s="311">
        <f>D11+D25+D37+D42</f>
        <v>191724</v>
      </c>
      <c r="E43" s="322">
        <f>SUM(B43:D43)</f>
        <v>487493</v>
      </c>
      <c r="F43" s="322">
        <f t="shared" ref="F43:M43" si="23">F11+F25+F37+F42</f>
        <v>159846</v>
      </c>
      <c r="G43" s="309">
        <f t="shared" si="23"/>
        <v>847558</v>
      </c>
      <c r="H43" s="139">
        <f t="shared" si="23"/>
        <v>137</v>
      </c>
      <c r="I43" s="139">
        <f t="shared" si="23"/>
        <v>106</v>
      </c>
      <c r="J43" s="139">
        <f t="shared" si="23"/>
        <v>337</v>
      </c>
      <c r="K43" s="139">
        <f>K11+K25+K37+K42</f>
        <v>281</v>
      </c>
      <c r="L43" s="139">
        <f t="shared" si="23"/>
        <v>97</v>
      </c>
      <c r="M43" s="141">
        <f t="shared" si="23"/>
        <v>957</v>
      </c>
      <c r="N43" s="146">
        <f t="shared" si="3"/>
        <v>0.11291262662850211</v>
      </c>
      <c r="O43" s="147">
        <f t="shared" ref="O43:T43" si="24">O11+O25+O37+O42</f>
        <v>208</v>
      </c>
      <c r="P43" s="148">
        <f t="shared" si="24"/>
        <v>153</v>
      </c>
      <c r="Q43" s="148">
        <f t="shared" si="24"/>
        <v>447</v>
      </c>
      <c r="R43" s="148">
        <f>R11+R25+R37+R42</f>
        <v>310</v>
      </c>
      <c r="S43" s="148">
        <f t="shared" si="24"/>
        <v>112</v>
      </c>
      <c r="T43" s="148">
        <f t="shared" si="24"/>
        <v>1231</v>
      </c>
      <c r="U43" s="94">
        <f t="shared" si="0"/>
        <v>0.14524079767992279</v>
      </c>
      <c r="V43" s="148">
        <f t="shared" ref="V43:AA43" si="25">V11+V25+V37+V42</f>
        <v>43</v>
      </c>
      <c r="W43" s="148">
        <f t="shared" si="25"/>
        <v>43</v>
      </c>
      <c r="X43" s="148">
        <f t="shared" si="25"/>
        <v>218</v>
      </c>
      <c r="Y43" s="148">
        <f t="shared" si="25"/>
        <v>133</v>
      </c>
      <c r="Z43" s="148">
        <f t="shared" si="25"/>
        <v>77</v>
      </c>
      <c r="AA43" s="148">
        <f t="shared" si="25"/>
        <v>514</v>
      </c>
      <c r="AB43" s="94">
        <f t="shared" si="1"/>
        <v>6.0644817227847536E-2</v>
      </c>
      <c r="AC43" s="140">
        <f>AC11+AC25+AC37+AC42</f>
        <v>264</v>
      </c>
      <c r="AD43" s="324">
        <f>AD11+AD25+AD37+AD42</f>
        <v>87</v>
      </c>
      <c r="AE43" s="140">
        <f>AE11+AE25+AE37+AE42</f>
        <v>4192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AJ46"/>
  <sheetViews>
    <sheetView topLeftCell="A4" zoomScale="80" zoomScaleNormal="80" workbookViewId="0">
      <selection activeCell="AE15" sqref="AE15"/>
    </sheetView>
  </sheetViews>
  <sheetFormatPr baseColWidth="10" defaultRowHeight="12.75" outlineLevelCol="1" x14ac:dyDescent="0.2"/>
  <cols>
    <col min="1" max="1" width="26" bestFit="1" customWidth="1"/>
    <col min="2" max="2" width="12" hidden="1" customWidth="1" outlineLevel="1"/>
    <col min="3" max="3" width="12.85546875" hidden="1" customWidth="1" outlineLevel="1"/>
    <col min="4" max="4" width="13.5703125" hidden="1" customWidth="1" outlineLevel="1"/>
    <col min="5" max="5" width="13.85546875" hidden="1" customWidth="1" outlineLevel="1"/>
    <col min="6" max="6" width="12.42578125" hidden="1" customWidth="1" outlineLevel="1"/>
    <col min="7" max="7" width="13.140625" customWidth="1" collapsed="1"/>
    <col min="8" max="8" width="9.5703125" hidden="1" customWidth="1" outlineLevel="1"/>
    <col min="9" max="10" width="10.42578125" hidden="1" customWidth="1" outlineLevel="1"/>
    <col min="11" max="11" width="9.85546875" hidden="1" customWidth="1" outlineLevel="1"/>
    <col min="12" max="12" width="11.42578125" hidden="1" customWidth="1" outlineLevel="1"/>
    <col min="13" max="13" width="15.5703125" customWidth="1" collapsed="1"/>
    <col min="14" max="14" width="13.42578125" customWidth="1"/>
    <col min="15" max="19" width="11.42578125" hidden="1" customWidth="1" outlineLevel="1"/>
    <col min="20" max="20" width="18.140625" customWidth="1" collapsed="1"/>
    <col min="21" max="21" width="12.5703125" customWidth="1"/>
    <col min="22" max="26" width="11.42578125" hidden="1" customWidth="1" outlineLevel="1"/>
    <col min="27" max="27" width="13.5703125" customWidth="1" collapsed="1"/>
    <col min="29" max="29" width="14.85546875" customWidth="1"/>
    <col min="30" max="31" width="16.42578125" customWidth="1"/>
  </cols>
  <sheetData>
    <row r="1" spans="1:36" s="1" customFormat="1" ht="18" x14ac:dyDescent="0.25">
      <c r="A1" s="730" t="s">
        <v>115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</row>
    <row r="2" spans="1:36" s="1" customFormat="1" ht="9" customHeight="1" thickBot="1" x14ac:dyDescent="0.3"/>
    <row r="3" spans="1:36" ht="66.75" thickTop="1" thickBot="1" x14ac:dyDescent="0.25">
      <c r="A3" s="731" t="s">
        <v>24</v>
      </c>
      <c r="B3" s="733" t="s">
        <v>0</v>
      </c>
      <c r="C3" s="734"/>
      <c r="D3" s="734"/>
      <c r="E3" s="734"/>
      <c r="F3" s="734"/>
      <c r="G3" s="735"/>
      <c r="H3" s="736" t="s">
        <v>33</v>
      </c>
      <c r="I3" s="737"/>
      <c r="J3" s="737"/>
      <c r="K3" s="737"/>
      <c r="L3" s="737"/>
      <c r="M3" s="738"/>
      <c r="N3" s="36" t="s">
        <v>40</v>
      </c>
      <c r="O3" s="739" t="s">
        <v>42</v>
      </c>
      <c r="P3" s="740"/>
      <c r="Q3" s="740"/>
      <c r="R3" s="740"/>
      <c r="S3" s="740"/>
      <c r="T3" s="740"/>
      <c r="U3" s="741" t="s">
        <v>43</v>
      </c>
      <c r="V3" s="368" t="s">
        <v>116</v>
      </c>
      <c r="AA3" s="39" t="s">
        <v>45</v>
      </c>
      <c r="AB3" s="741" t="s">
        <v>43</v>
      </c>
      <c r="AC3" s="109" t="s">
        <v>46</v>
      </c>
      <c r="AD3" s="103" t="s">
        <v>47</v>
      </c>
      <c r="AE3" s="110" t="s">
        <v>48</v>
      </c>
      <c r="AF3" s="111"/>
      <c r="AG3" s="112"/>
      <c r="AH3" s="112"/>
      <c r="AI3" s="112"/>
      <c r="AJ3" s="112"/>
    </row>
    <row r="4" spans="1:36" ht="13.5" thickBot="1" x14ac:dyDescent="0.25">
      <c r="A4" s="732"/>
      <c r="B4" s="38" t="s">
        <v>29</v>
      </c>
      <c r="C4" s="16" t="s">
        <v>30</v>
      </c>
      <c r="D4" s="16" t="s">
        <v>36</v>
      </c>
      <c r="E4" s="16" t="s">
        <v>31</v>
      </c>
      <c r="F4" s="16" t="s">
        <v>32</v>
      </c>
      <c r="G4" s="17" t="s">
        <v>21</v>
      </c>
      <c r="H4" s="40" t="s">
        <v>29</v>
      </c>
      <c r="I4" s="41" t="s">
        <v>30</v>
      </c>
      <c r="J4" s="41" t="s">
        <v>37</v>
      </c>
      <c r="K4" s="41" t="s">
        <v>34</v>
      </c>
      <c r="L4" s="41" t="s">
        <v>32</v>
      </c>
      <c r="M4" s="42" t="s">
        <v>21</v>
      </c>
      <c r="N4" s="37"/>
      <c r="O4" s="41" t="s">
        <v>29</v>
      </c>
      <c r="P4" s="41" t="s">
        <v>30</v>
      </c>
      <c r="Q4" s="41" t="s">
        <v>36</v>
      </c>
      <c r="R4" s="41" t="s">
        <v>31</v>
      </c>
      <c r="S4" s="41" t="s">
        <v>32</v>
      </c>
      <c r="T4" s="43" t="s">
        <v>21</v>
      </c>
      <c r="U4" s="742"/>
      <c r="V4" t="s">
        <v>29</v>
      </c>
      <c r="W4" t="s">
        <v>30</v>
      </c>
      <c r="X4" t="s">
        <v>37</v>
      </c>
      <c r="Y4" t="s">
        <v>34</v>
      </c>
      <c r="Z4" t="s">
        <v>32</v>
      </c>
      <c r="AA4" s="101" t="s">
        <v>21</v>
      </c>
      <c r="AB4" s="742"/>
      <c r="AC4" s="101" t="s">
        <v>21</v>
      </c>
      <c r="AD4" s="101" t="s">
        <v>21</v>
      </c>
      <c r="AE4" s="101" t="s">
        <v>21</v>
      </c>
    </row>
    <row r="5" spans="1:36" ht="15.75" thickBot="1" x14ac:dyDescent="0.3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100"/>
    </row>
    <row r="6" spans="1:36" ht="15" thickBot="1" x14ac:dyDescent="0.25">
      <c r="A6" s="7" t="s">
        <v>1</v>
      </c>
      <c r="B6" s="22">
        <v>115</v>
      </c>
      <c r="C6" s="22">
        <v>29</v>
      </c>
      <c r="D6" s="22">
        <v>123</v>
      </c>
      <c r="E6" s="22">
        <v>75</v>
      </c>
      <c r="F6" s="22">
        <v>38</v>
      </c>
      <c r="G6" s="121">
        <f>SUM(B6:F6)</f>
        <v>380</v>
      </c>
      <c r="H6" s="44">
        <v>0</v>
      </c>
      <c r="I6" s="45">
        <v>0</v>
      </c>
      <c r="J6" s="45">
        <f>Düsseldorf14!C6</f>
        <v>0</v>
      </c>
      <c r="K6" s="45">
        <f>Kölle14!C6</f>
        <v>0</v>
      </c>
      <c r="L6" s="46">
        <f>Münster14!C6</f>
        <v>0</v>
      </c>
      <c r="M6" s="217">
        <f>SUM(H6:L6)</f>
        <v>0</v>
      </c>
      <c r="N6" s="47">
        <f>M6*100/G6</f>
        <v>0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217">
        <f>SUM(O6:S6)</f>
        <v>0</v>
      </c>
      <c r="U6" s="133">
        <f>T6*100/G6</f>
        <v>0</v>
      </c>
      <c r="V6" s="45">
        <v>1</v>
      </c>
      <c r="W6" s="45">
        <f>Detmold14!E6</f>
        <v>0</v>
      </c>
      <c r="X6" s="45">
        <v>0</v>
      </c>
      <c r="Y6" s="45">
        <v>0</v>
      </c>
      <c r="Z6" s="45">
        <v>0</v>
      </c>
      <c r="AA6" s="215">
        <f>SUM(V6:Z6)</f>
        <v>1</v>
      </c>
      <c r="AB6" s="216">
        <f>AA6*100/G6</f>
        <v>0.26315789473684209</v>
      </c>
      <c r="AC6" s="217">
        <f>Arnsberg14!F6+Detmold14!F6+Düsseldorf14!F6+Kölle14!F6+Münster14!F6</f>
        <v>0</v>
      </c>
      <c r="AD6" s="217">
        <v>0</v>
      </c>
      <c r="AE6" s="217">
        <v>4</v>
      </c>
    </row>
    <row r="7" spans="1:36" ht="15" thickBot="1" x14ac:dyDescent="0.25">
      <c r="A7" s="8" t="s">
        <v>2</v>
      </c>
      <c r="B7" s="22">
        <v>905</v>
      </c>
      <c r="C7" s="22">
        <v>177</v>
      </c>
      <c r="D7" s="22">
        <v>772</v>
      </c>
      <c r="E7" s="22">
        <v>624</v>
      </c>
      <c r="F7" s="22">
        <v>323</v>
      </c>
      <c r="G7" s="121">
        <f>SUM(B7:F7)</f>
        <v>2801</v>
      </c>
      <c r="H7" s="44">
        <v>1</v>
      </c>
      <c r="I7" s="45">
        <v>1</v>
      </c>
      <c r="J7" s="45">
        <v>5</v>
      </c>
      <c r="K7" s="45">
        <v>1</v>
      </c>
      <c r="L7" s="46">
        <v>0</v>
      </c>
      <c r="M7" s="217">
        <f>SUM(H7:L7)</f>
        <v>8</v>
      </c>
      <c r="N7" s="49">
        <f>M7*100/G7</f>
        <v>0.28561228132809713</v>
      </c>
      <c r="O7" s="45">
        <v>4</v>
      </c>
      <c r="P7" s="45">
        <v>1</v>
      </c>
      <c r="Q7" s="45">
        <v>2</v>
      </c>
      <c r="R7" s="45">
        <v>5</v>
      </c>
      <c r="S7" s="45">
        <v>0</v>
      </c>
      <c r="T7" s="217">
        <f>SUM(O7:S7)</f>
        <v>12</v>
      </c>
      <c r="U7" s="92">
        <f>T7*100/G7</f>
        <v>0.42841842199214564</v>
      </c>
      <c r="V7" s="45">
        <v>1</v>
      </c>
      <c r="W7" s="45">
        <f>Detmold14!E7</f>
        <v>0</v>
      </c>
      <c r="X7" s="45">
        <v>2</v>
      </c>
      <c r="Y7" s="45">
        <v>1</v>
      </c>
      <c r="Z7" s="45">
        <v>1</v>
      </c>
      <c r="AA7" s="215">
        <f>SUM(V7:Z7)</f>
        <v>5</v>
      </c>
      <c r="AB7" s="104">
        <f>AA7*100/G7</f>
        <v>0.17850767583006069</v>
      </c>
      <c r="AC7" s="217">
        <v>3</v>
      </c>
      <c r="AD7" s="217">
        <v>3</v>
      </c>
      <c r="AE7" s="217">
        <v>72</v>
      </c>
    </row>
    <row r="8" spans="1:36" ht="15" thickBot="1" x14ac:dyDescent="0.25">
      <c r="A8" s="8" t="s">
        <v>14</v>
      </c>
      <c r="B8" s="22">
        <v>77</v>
      </c>
      <c r="C8" s="22">
        <v>41</v>
      </c>
      <c r="D8" s="22">
        <v>117</v>
      </c>
      <c r="E8" s="22">
        <v>104</v>
      </c>
      <c r="F8" s="22">
        <v>38</v>
      </c>
      <c r="G8" s="121">
        <f>SUM(B8:F8)</f>
        <v>377</v>
      </c>
      <c r="H8" s="44">
        <v>0</v>
      </c>
      <c r="I8" s="45">
        <v>0</v>
      </c>
      <c r="J8" s="45">
        <v>0</v>
      </c>
      <c r="K8" s="45">
        <f>Kölle14!C8</f>
        <v>0</v>
      </c>
      <c r="L8" s="46">
        <f>Münster14!C8</f>
        <v>0</v>
      </c>
      <c r="M8" s="217">
        <f>SUM(H8:L8)</f>
        <v>0</v>
      </c>
      <c r="N8" s="49">
        <f>M8*100/G8</f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217">
        <f>SUM(O8:S8)</f>
        <v>0</v>
      </c>
      <c r="U8" s="92">
        <f t="shared" ref="U8:U43" si="0">T8*100/G8</f>
        <v>0</v>
      </c>
      <c r="V8" s="45">
        <v>0</v>
      </c>
      <c r="W8" s="45">
        <f>Detmold14!E8</f>
        <v>0</v>
      </c>
      <c r="X8" s="45">
        <v>0</v>
      </c>
      <c r="Y8" s="45">
        <v>0</v>
      </c>
      <c r="Z8" s="45">
        <v>0</v>
      </c>
      <c r="AA8" s="215">
        <f>SUM(V8:Z8)</f>
        <v>0</v>
      </c>
      <c r="AB8" s="104">
        <f t="shared" ref="AB8:AB43" si="1">AA8*100/G8</f>
        <v>0</v>
      </c>
      <c r="AC8" s="217">
        <f>Arnsberg14!F8+Detmold14!F8+Düsseldorf14!F8+Kölle14!F8+Münster14!F8</f>
        <v>0</v>
      </c>
      <c r="AD8" s="217">
        <v>0</v>
      </c>
      <c r="AE8" s="217">
        <v>3</v>
      </c>
    </row>
    <row r="9" spans="1:36" ht="15" thickBot="1" x14ac:dyDescent="0.25">
      <c r="A9" s="9" t="s">
        <v>3</v>
      </c>
      <c r="B9" s="22">
        <v>139</v>
      </c>
      <c r="C9" s="22">
        <v>64</v>
      </c>
      <c r="D9" s="22">
        <v>171</v>
      </c>
      <c r="E9" s="22">
        <v>135</v>
      </c>
      <c r="F9" s="22">
        <v>43</v>
      </c>
      <c r="G9" s="121">
        <f>SUM(B9:F9)</f>
        <v>552</v>
      </c>
      <c r="H9" s="44">
        <v>0</v>
      </c>
      <c r="I9" s="45">
        <v>0</v>
      </c>
      <c r="J9" s="45">
        <v>0</v>
      </c>
      <c r="K9" s="45">
        <f>Kölle14!C9</f>
        <v>0</v>
      </c>
      <c r="L9" s="46">
        <f>Münster14!C9</f>
        <v>0</v>
      </c>
      <c r="M9" s="217">
        <f>SUM(H9:L9)</f>
        <v>0</v>
      </c>
      <c r="N9" s="49">
        <f>M9*100/G9</f>
        <v>0</v>
      </c>
      <c r="O9" s="45">
        <v>0</v>
      </c>
      <c r="P9" s="45">
        <v>0</v>
      </c>
      <c r="Q9" s="45">
        <v>2</v>
      </c>
      <c r="R9" s="45">
        <v>1</v>
      </c>
      <c r="S9" s="45">
        <v>0</v>
      </c>
      <c r="T9" s="217">
        <f>SUM(O9:S9)</f>
        <v>3</v>
      </c>
      <c r="U9" s="92">
        <f t="shared" si="0"/>
        <v>0.54347826086956519</v>
      </c>
      <c r="V9" s="45">
        <v>0</v>
      </c>
      <c r="W9" s="45">
        <f>Detmold14!E9</f>
        <v>0</v>
      </c>
      <c r="X9" s="45">
        <v>0</v>
      </c>
      <c r="Y9" s="45">
        <v>0</v>
      </c>
      <c r="Z9" s="45">
        <v>1</v>
      </c>
      <c r="AA9" s="215">
        <f>SUM(V9:Z9)</f>
        <v>1</v>
      </c>
      <c r="AB9" s="104">
        <f t="shared" si="1"/>
        <v>0.18115942028985507</v>
      </c>
      <c r="AC9" s="217">
        <f>Arnsberg14!F9+Detmold14!F9+Düsseldorf14!F9+Kölle14!F9+Münster14!F9</f>
        <v>0</v>
      </c>
      <c r="AD9" s="217">
        <v>0</v>
      </c>
      <c r="AE9" s="217">
        <v>12</v>
      </c>
    </row>
    <row r="10" spans="1:36" ht="24.75" thickBot="1" x14ac:dyDescent="0.25">
      <c r="A10" s="18" t="s">
        <v>23</v>
      </c>
      <c r="B10" s="22">
        <v>1010</v>
      </c>
      <c r="C10" s="22">
        <v>174</v>
      </c>
      <c r="D10" s="22">
        <v>924</v>
      </c>
      <c r="E10" s="22">
        <v>810</v>
      </c>
      <c r="F10" s="22">
        <v>349</v>
      </c>
      <c r="G10" s="121">
        <f>SUM(B10:F10)</f>
        <v>3267</v>
      </c>
      <c r="H10" s="44">
        <v>2</v>
      </c>
      <c r="I10" s="45">
        <v>1</v>
      </c>
      <c r="J10" s="45">
        <v>1</v>
      </c>
      <c r="K10" s="45">
        <v>2</v>
      </c>
      <c r="L10" s="46">
        <v>1</v>
      </c>
      <c r="M10" s="217">
        <f>SUM(H10:L10)</f>
        <v>7</v>
      </c>
      <c r="N10" s="70">
        <f>M10*100/G10</f>
        <v>0.21426385062748698</v>
      </c>
      <c r="O10" s="45">
        <v>1</v>
      </c>
      <c r="P10" s="45">
        <v>0</v>
      </c>
      <c r="Q10" s="45">
        <v>3</v>
      </c>
      <c r="R10" s="45">
        <v>5</v>
      </c>
      <c r="S10" s="45">
        <v>5</v>
      </c>
      <c r="T10" s="84">
        <f>SUM(O10:S10)</f>
        <v>14</v>
      </c>
      <c r="U10" s="143">
        <f t="shared" si="0"/>
        <v>0.42852770125497397</v>
      </c>
      <c r="V10" s="45">
        <v>0</v>
      </c>
      <c r="W10" s="45">
        <f>Detmold14!E10</f>
        <v>0</v>
      </c>
      <c r="X10" s="45">
        <v>1</v>
      </c>
      <c r="Y10" s="45">
        <v>0</v>
      </c>
      <c r="Z10" s="45">
        <v>0</v>
      </c>
      <c r="AA10" s="215">
        <f>SUM(V10:Z10)</f>
        <v>1</v>
      </c>
      <c r="AB10" s="105">
        <f t="shared" si="1"/>
        <v>3.0609121518212427E-2</v>
      </c>
      <c r="AC10" s="217">
        <v>6</v>
      </c>
      <c r="AD10" s="217">
        <v>1</v>
      </c>
      <c r="AE10" s="217">
        <v>51</v>
      </c>
    </row>
    <row r="11" spans="1:36" ht="15.75" thickBot="1" x14ac:dyDescent="0.3">
      <c r="A11" s="10" t="s">
        <v>21</v>
      </c>
      <c r="B11" s="24">
        <f>SUM(B6:B10)</f>
        <v>2246</v>
      </c>
      <c r="C11" s="24">
        <f>SUM(C6:C10)</f>
        <v>485</v>
      </c>
      <c r="D11" s="24">
        <f>SUM(D6:D10)</f>
        <v>2107</v>
      </c>
      <c r="E11" s="24">
        <f>SUM(E6:E10)</f>
        <v>1748</v>
      </c>
      <c r="F11" s="24">
        <f>SUM(F6:F10)</f>
        <v>791</v>
      </c>
      <c r="G11" s="122">
        <f t="shared" ref="G11:M11" si="2">SUM(G6:G10)</f>
        <v>7377</v>
      </c>
      <c r="H11" s="122">
        <f>SUM(H6:H10)</f>
        <v>3</v>
      </c>
      <c r="I11" s="122">
        <f>SUM(I6:I10)</f>
        <v>2</v>
      </c>
      <c r="J11" s="122">
        <f t="shared" si="2"/>
        <v>6</v>
      </c>
      <c r="K11" s="122">
        <f t="shared" si="2"/>
        <v>3</v>
      </c>
      <c r="L11" s="122">
        <f t="shared" si="2"/>
        <v>1</v>
      </c>
      <c r="M11" s="325">
        <f t="shared" si="2"/>
        <v>15</v>
      </c>
      <c r="N11" s="118">
        <f t="shared" ref="N11:N43" si="3">M11*100/G11</f>
        <v>0.203334688897926</v>
      </c>
      <c r="O11" s="119">
        <f t="shared" ref="O11:T11" si="4">SUM(O6:O10)</f>
        <v>5</v>
      </c>
      <c r="P11" s="119">
        <f t="shared" si="4"/>
        <v>1</v>
      </c>
      <c r="Q11" s="119">
        <f t="shared" si="4"/>
        <v>7</v>
      </c>
      <c r="R11" s="119">
        <f>SUM(R6:R10)</f>
        <v>11</v>
      </c>
      <c r="S11" s="119">
        <f t="shared" si="4"/>
        <v>5</v>
      </c>
      <c r="T11" s="326">
        <f t="shared" si="4"/>
        <v>29</v>
      </c>
      <c r="U11" s="94">
        <f t="shared" si="0"/>
        <v>0.39311373186932358</v>
      </c>
      <c r="V11" s="119">
        <f t="shared" ref="V11:AA11" si="5">SUM(V6:V10)</f>
        <v>2</v>
      </c>
      <c r="W11" s="119">
        <f t="shared" si="5"/>
        <v>0</v>
      </c>
      <c r="X11" s="119">
        <f t="shared" si="5"/>
        <v>3</v>
      </c>
      <c r="Y11" s="119">
        <f>SUM(Y6:Y10)</f>
        <v>1</v>
      </c>
      <c r="Z11" s="119">
        <f t="shared" si="5"/>
        <v>2</v>
      </c>
      <c r="AA11" s="327">
        <f t="shared" si="5"/>
        <v>8</v>
      </c>
      <c r="AB11" s="106">
        <f t="shared" si="1"/>
        <v>0.10844516741222719</v>
      </c>
      <c r="AC11" s="132">
        <f>SUM(AC6:AC10)</f>
        <v>9</v>
      </c>
      <c r="AD11" s="115">
        <f>SUM(AD6:AD10)</f>
        <v>4</v>
      </c>
      <c r="AE11" s="115">
        <f>SUM(AE6:AE10)</f>
        <v>142</v>
      </c>
    </row>
    <row r="12" spans="1:36" ht="15" x14ac:dyDescent="0.25">
      <c r="A12" s="4"/>
      <c r="B12" s="25"/>
      <c r="C12" s="25"/>
      <c r="D12" s="25"/>
      <c r="E12" s="25"/>
      <c r="F12" s="25"/>
      <c r="G12" s="123"/>
      <c r="H12" s="52"/>
      <c r="I12" s="52"/>
      <c r="J12" s="52"/>
      <c r="K12" s="52"/>
      <c r="L12" s="53"/>
      <c r="M12" s="53"/>
      <c r="N12" s="90"/>
      <c r="O12" s="52"/>
      <c r="P12" s="52"/>
      <c r="Q12" s="52"/>
      <c r="R12" s="52"/>
      <c r="S12" s="52"/>
      <c r="T12" s="85"/>
      <c r="U12" s="151"/>
      <c r="AA12" s="99"/>
      <c r="AC12" s="99"/>
      <c r="AD12" s="99"/>
      <c r="AE12" s="99"/>
    </row>
    <row r="13" spans="1:36" ht="15.75" thickBot="1" x14ac:dyDescent="0.3">
      <c r="A13" s="3" t="s">
        <v>52</v>
      </c>
      <c r="B13" s="26"/>
      <c r="C13" s="26"/>
      <c r="D13" s="26"/>
      <c r="E13" s="26"/>
      <c r="F13" s="26"/>
      <c r="G13" s="124"/>
      <c r="H13" s="54"/>
      <c r="I13" s="54"/>
      <c r="J13" s="54"/>
      <c r="K13" s="54"/>
      <c r="L13" s="55"/>
      <c r="M13" s="55"/>
      <c r="N13" s="56"/>
      <c r="O13" s="54"/>
      <c r="P13" s="54"/>
      <c r="Q13" s="54"/>
      <c r="R13" s="54"/>
      <c r="S13" s="54"/>
      <c r="T13" s="86"/>
      <c r="U13" s="131"/>
      <c r="AA13" s="99"/>
      <c r="AC13" s="99"/>
      <c r="AD13" s="99"/>
      <c r="AE13" s="99"/>
    </row>
    <row r="14" spans="1:36" ht="15" thickBot="1" x14ac:dyDescent="0.25">
      <c r="A14" s="7" t="s">
        <v>4</v>
      </c>
      <c r="B14" s="22">
        <v>20</v>
      </c>
      <c r="C14" s="22">
        <v>4</v>
      </c>
      <c r="D14" s="22">
        <v>28</v>
      </c>
      <c r="E14" s="22">
        <v>39</v>
      </c>
      <c r="F14" s="22">
        <v>10</v>
      </c>
      <c r="G14" s="121">
        <f>SUM(B14:F14)</f>
        <v>101</v>
      </c>
      <c r="H14" s="57">
        <v>0</v>
      </c>
      <c r="I14" s="57">
        <f>Detmold14!C14</f>
        <v>0</v>
      </c>
      <c r="J14" s="58">
        <f>Düsseldorf14!C14</f>
        <v>0</v>
      </c>
      <c r="K14" s="45">
        <f>Kölle14!C14</f>
        <v>0</v>
      </c>
      <c r="L14" s="46">
        <f>Münster14!C14</f>
        <v>0</v>
      </c>
      <c r="M14" s="217">
        <f>SUM(H14:L14)</f>
        <v>0</v>
      </c>
      <c r="N14" s="51">
        <f t="shared" si="3"/>
        <v>0</v>
      </c>
      <c r="O14" s="58">
        <v>0</v>
      </c>
      <c r="P14" s="58">
        <f>Detmold14!D14</f>
        <v>0</v>
      </c>
      <c r="Q14" s="45">
        <v>0</v>
      </c>
      <c r="R14" s="45">
        <v>0</v>
      </c>
      <c r="S14" s="58">
        <v>1</v>
      </c>
      <c r="T14" s="217">
        <f>SUM(O14:S14)</f>
        <v>1</v>
      </c>
      <c r="U14" s="211">
        <f t="shared" si="0"/>
        <v>0.99009900990099009</v>
      </c>
      <c r="V14" s="45">
        <f>Arnsberg14!E14</f>
        <v>0</v>
      </c>
      <c r="W14" s="45">
        <f>Detmold14!E14</f>
        <v>0</v>
      </c>
      <c r="X14" s="45">
        <f>Düsseldorf14!E14</f>
        <v>0</v>
      </c>
      <c r="Y14" s="45">
        <f>Kölle14!E14</f>
        <v>0</v>
      </c>
      <c r="Z14" s="45">
        <f>Münster14!E14</f>
        <v>0</v>
      </c>
      <c r="AA14" s="217">
        <f>SUM(V14:Z14)</f>
        <v>0</v>
      </c>
      <c r="AB14" s="104">
        <f t="shared" si="1"/>
        <v>0</v>
      </c>
      <c r="AC14" s="217">
        <f>Arnsberg14!F14+Detmold14!F14+Düsseldorf14!F14+Kölle14!F14+Münster14!F14</f>
        <v>0</v>
      </c>
      <c r="AD14" s="217">
        <f>Arnsberg14!G14+Detmold14!G14+Düsseldorf14!G14+Kölle14!G14+Münster14!G14</f>
        <v>0</v>
      </c>
      <c r="AE14" s="217">
        <v>2</v>
      </c>
    </row>
    <row r="15" spans="1:36" ht="15" thickBot="1" x14ac:dyDescent="0.25">
      <c r="A15" s="11" t="s">
        <v>5</v>
      </c>
      <c r="B15" s="27">
        <v>204</v>
      </c>
      <c r="C15" s="27">
        <v>40</v>
      </c>
      <c r="D15" s="27">
        <v>242</v>
      </c>
      <c r="E15" s="27">
        <v>306</v>
      </c>
      <c r="F15" s="27">
        <v>90</v>
      </c>
      <c r="G15" s="121">
        <f t="shared" ref="G15:G24" si="6">SUM(B15:F15)</f>
        <v>882</v>
      </c>
      <c r="H15" s="59">
        <v>2</v>
      </c>
      <c r="I15" s="60">
        <f>Detmold14!C15</f>
        <v>0</v>
      </c>
      <c r="J15" s="61">
        <v>0</v>
      </c>
      <c r="K15" s="62">
        <v>2</v>
      </c>
      <c r="L15" s="48">
        <v>0</v>
      </c>
      <c r="M15" s="217">
        <v>2</v>
      </c>
      <c r="N15" s="51">
        <f t="shared" si="3"/>
        <v>0.22675736961451248</v>
      </c>
      <c r="O15" s="62">
        <v>1</v>
      </c>
      <c r="P15" s="61">
        <v>0</v>
      </c>
      <c r="Q15" s="62">
        <v>0</v>
      </c>
      <c r="R15" s="62">
        <v>4</v>
      </c>
      <c r="S15" s="63">
        <v>1</v>
      </c>
      <c r="T15" s="217">
        <f t="shared" ref="T15:T24" si="7">SUM(O15:S15)</f>
        <v>6</v>
      </c>
      <c r="U15" s="212">
        <f t="shared" si="0"/>
        <v>0.68027210884353739</v>
      </c>
      <c r="V15" s="62">
        <f>Arnsberg14!E15</f>
        <v>0</v>
      </c>
      <c r="W15" s="62">
        <f>Detmold14!E15</f>
        <v>0</v>
      </c>
      <c r="X15" s="62">
        <v>1</v>
      </c>
      <c r="Y15" s="62">
        <v>0</v>
      </c>
      <c r="Z15" s="62">
        <f>Münster14!E15</f>
        <v>0</v>
      </c>
      <c r="AA15" s="217">
        <f t="shared" ref="AA15:AA24" si="8">SUM(V15:Z15)</f>
        <v>1</v>
      </c>
      <c r="AB15" s="104">
        <f t="shared" si="1"/>
        <v>0.11337868480725624</v>
      </c>
      <c r="AC15" s="217">
        <v>0</v>
      </c>
      <c r="AD15" s="217">
        <v>2</v>
      </c>
      <c r="AE15" s="217">
        <v>24</v>
      </c>
    </row>
    <row r="16" spans="1:36" ht="15" thickBot="1" x14ac:dyDescent="0.25">
      <c r="A16" s="11" t="s">
        <v>6</v>
      </c>
      <c r="B16" s="28">
        <v>59</v>
      </c>
      <c r="C16" s="27">
        <v>27</v>
      </c>
      <c r="D16" s="27">
        <v>62</v>
      </c>
      <c r="E16" s="27">
        <v>51</v>
      </c>
      <c r="F16" s="27">
        <v>36</v>
      </c>
      <c r="G16" s="121">
        <f t="shared" si="6"/>
        <v>235</v>
      </c>
      <c r="H16" s="59">
        <v>0</v>
      </c>
      <c r="I16" s="60">
        <f>Detmold14!C16</f>
        <v>0</v>
      </c>
      <c r="J16" s="61">
        <f>Düsseldorf14!C16</f>
        <v>0</v>
      </c>
      <c r="K16" s="62">
        <f>Kölle14!C16</f>
        <v>0</v>
      </c>
      <c r="L16" s="48">
        <f>Münster14!C16</f>
        <v>0</v>
      </c>
      <c r="M16" s="217">
        <f t="shared" ref="M16:M24" si="9">SUM(H16:L16)</f>
        <v>0</v>
      </c>
      <c r="N16" s="51">
        <f t="shared" si="3"/>
        <v>0</v>
      </c>
      <c r="O16" s="64">
        <v>0</v>
      </c>
      <c r="P16" s="64">
        <f>Detmold14!D16</f>
        <v>0</v>
      </c>
      <c r="Q16" s="62">
        <v>0</v>
      </c>
      <c r="R16" s="62">
        <v>1</v>
      </c>
      <c r="S16" s="63">
        <f>Münster14!D16</f>
        <v>0</v>
      </c>
      <c r="T16" s="217">
        <f t="shared" si="7"/>
        <v>1</v>
      </c>
      <c r="U16" s="212">
        <f t="shared" si="0"/>
        <v>0.42553191489361702</v>
      </c>
      <c r="V16" s="62">
        <f>Arnsberg14!E16</f>
        <v>0</v>
      </c>
      <c r="W16" s="62">
        <f>Detmold14!E16</f>
        <v>0</v>
      </c>
      <c r="X16" s="62">
        <v>0</v>
      </c>
      <c r="Y16" s="62">
        <v>1</v>
      </c>
      <c r="Z16" s="62">
        <f>Münster14!E16</f>
        <v>0</v>
      </c>
      <c r="AA16" s="217">
        <f t="shared" si="8"/>
        <v>1</v>
      </c>
      <c r="AB16" s="104">
        <f t="shared" si="1"/>
        <v>0.42553191489361702</v>
      </c>
      <c r="AC16" s="217">
        <f>Arnsberg14!F16+Detmold14!F16+Düsseldorf14!F16+Kölle14!F16+Münster14!F16</f>
        <v>0</v>
      </c>
      <c r="AD16" s="217">
        <f>Arnsberg14!G16+Detmold14!G16+Düsseldorf14!G16+Kölle14!G16+Münster14!G16</f>
        <v>0</v>
      </c>
      <c r="AE16" s="217">
        <v>2</v>
      </c>
    </row>
    <row r="17" spans="1:34" ht="15" thickBot="1" x14ac:dyDescent="0.25">
      <c r="A17" s="11" t="s">
        <v>7</v>
      </c>
      <c r="B17" s="27">
        <v>28</v>
      </c>
      <c r="C17" s="27">
        <v>11</v>
      </c>
      <c r="D17" s="27">
        <v>46</v>
      </c>
      <c r="E17" s="27">
        <v>32</v>
      </c>
      <c r="F17" s="27">
        <v>21</v>
      </c>
      <c r="G17" s="121">
        <f t="shared" si="6"/>
        <v>138</v>
      </c>
      <c r="H17" s="59">
        <v>0</v>
      </c>
      <c r="I17" s="60">
        <f>Detmold14!C17</f>
        <v>0</v>
      </c>
      <c r="J17" s="61">
        <v>1</v>
      </c>
      <c r="K17" s="62">
        <v>0</v>
      </c>
      <c r="L17" s="48">
        <f>Münster14!C17</f>
        <v>0</v>
      </c>
      <c r="M17" s="217">
        <f t="shared" si="9"/>
        <v>1</v>
      </c>
      <c r="N17" s="51">
        <f t="shared" si="3"/>
        <v>0.72463768115942029</v>
      </c>
      <c r="O17" s="62">
        <v>0</v>
      </c>
      <c r="P17" s="62">
        <f>Detmold14!D17</f>
        <v>0</v>
      </c>
      <c r="Q17" s="62">
        <v>2</v>
      </c>
      <c r="R17" s="62">
        <v>0</v>
      </c>
      <c r="S17" s="63">
        <f>Münster14!D17</f>
        <v>0</v>
      </c>
      <c r="T17" s="217">
        <f t="shared" si="7"/>
        <v>2</v>
      </c>
      <c r="U17" s="212">
        <f t="shared" si="0"/>
        <v>1.4492753623188406</v>
      </c>
      <c r="V17" s="62">
        <f>Arnsberg14!E17</f>
        <v>0</v>
      </c>
      <c r="W17" s="62">
        <f>Detmold14!E17</f>
        <v>0</v>
      </c>
      <c r="X17" s="62">
        <f>Düsseldorf14!E17</f>
        <v>0</v>
      </c>
      <c r="Y17" s="62">
        <f>Kölle14!E17</f>
        <v>0</v>
      </c>
      <c r="Z17" s="62">
        <f>Münster14!E17</f>
        <v>0</v>
      </c>
      <c r="AA17" s="217">
        <f t="shared" si="8"/>
        <v>0</v>
      </c>
      <c r="AB17" s="104">
        <f t="shared" si="1"/>
        <v>0</v>
      </c>
      <c r="AC17" s="217">
        <f>Arnsberg14!F17+Detmold14!F17+Düsseldorf14!F17+Kölle14!F17+Münster14!F17</f>
        <v>0</v>
      </c>
      <c r="AD17" s="217">
        <f>Arnsberg14!G17+Detmold14!G17+Düsseldorf14!G17+Kölle14!G17+Münster14!G17</f>
        <v>0</v>
      </c>
      <c r="AE17" s="217">
        <v>3</v>
      </c>
    </row>
    <row r="18" spans="1:34" ht="15" thickBot="1" x14ac:dyDescent="0.25">
      <c r="A18" s="11" t="s">
        <v>8</v>
      </c>
      <c r="B18" s="27">
        <v>9</v>
      </c>
      <c r="C18" s="27">
        <v>2</v>
      </c>
      <c r="D18" s="27">
        <v>9</v>
      </c>
      <c r="E18" s="27">
        <v>7</v>
      </c>
      <c r="F18" s="27">
        <v>3</v>
      </c>
      <c r="G18" s="121">
        <f t="shared" si="6"/>
        <v>30</v>
      </c>
      <c r="H18" s="59">
        <v>1</v>
      </c>
      <c r="I18" s="60">
        <f>Detmold14!C18</f>
        <v>0</v>
      </c>
      <c r="J18" s="61">
        <f>Düsseldorf14!C18</f>
        <v>0</v>
      </c>
      <c r="K18" s="62">
        <f>Kölle14!C18</f>
        <v>0</v>
      </c>
      <c r="L18" s="48">
        <f>Münster14!C18</f>
        <v>0</v>
      </c>
      <c r="M18" s="217">
        <f t="shared" si="9"/>
        <v>1</v>
      </c>
      <c r="N18" s="51">
        <f t="shared" si="3"/>
        <v>3.3333333333333335</v>
      </c>
      <c r="O18" s="62">
        <v>0</v>
      </c>
      <c r="P18" s="62">
        <f>Detmold14!D18</f>
        <v>0</v>
      </c>
      <c r="Q18" s="62">
        <v>0</v>
      </c>
      <c r="R18" s="62">
        <v>0</v>
      </c>
      <c r="S18" s="61">
        <f>Münster14!D18</f>
        <v>0</v>
      </c>
      <c r="T18" s="217">
        <f t="shared" si="7"/>
        <v>0</v>
      </c>
      <c r="U18" s="212">
        <f t="shared" si="0"/>
        <v>0</v>
      </c>
      <c r="V18" s="62">
        <v>1</v>
      </c>
      <c r="W18" s="62">
        <f>Detmold14!E18</f>
        <v>0</v>
      </c>
      <c r="X18" s="62">
        <f>Düsseldorf14!E18</f>
        <v>0</v>
      </c>
      <c r="Y18" s="62">
        <f>Kölle14!E18</f>
        <v>0</v>
      </c>
      <c r="Z18" s="62">
        <f>Münster14!E18</f>
        <v>0</v>
      </c>
      <c r="AA18" s="217">
        <f t="shared" si="8"/>
        <v>1</v>
      </c>
      <c r="AB18" s="104">
        <f t="shared" si="1"/>
        <v>3.3333333333333335</v>
      </c>
      <c r="AC18" s="217">
        <f>Arnsberg14!F18+Detmold14!F18+Düsseldorf14!F18+Kölle14!F18+Münster14!F18</f>
        <v>0</v>
      </c>
      <c r="AD18" s="217">
        <f>Arnsberg14!G18+Detmold14!G18+Düsseldorf14!G18+Kölle14!G18+Münster14!G18</f>
        <v>0</v>
      </c>
      <c r="AE18" s="217">
        <v>0</v>
      </c>
    </row>
    <row r="19" spans="1:34" ht="15" thickBot="1" x14ac:dyDescent="0.25">
      <c r="A19" s="11" t="s">
        <v>9</v>
      </c>
      <c r="B19" s="27">
        <v>19</v>
      </c>
      <c r="C19" s="27">
        <v>5</v>
      </c>
      <c r="D19" s="27">
        <v>24</v>
      </c>
      <c r="E19" s="27">
        <v>18</v>
      </c>
      <c r="F19" s="27">
        <v>8</v>
      </c>
      <c r="G19" s="121">
        <f t="shared" si="6"/>
        <v>74</v>
      </c>
      <c r="H19" s="59">
        <v>0</v>
      </c>
      <c r="I19" s="60">
        <f>Detmold14!C19</f>
        <v>0</v>
      </c>
      <c r="J19" s="61">
        <v>0</v>
      </c>
      <c r="K19" s="62">
        <v>0</v>
      </c>
      <c r="L19" s="48">
        <f>Münster14!C19</f>
        <v>0</v>
      </c>
      <c r="M19" s="217">
        <f t="shared" si="9"/>
        <v>0</v>
      </c>
      <c r="N19" s="51">
        <f t="shared" si="3"/>
        <v>0</v>
      </c>
      <c r="O19" s="62">
        <v>0</v>
      </c>
      <c r="P19" s="62">
        <f>Detmold14!D19</f>
        <v>0</v>
      </c>
      <c r="Q19" s="62">
        <v>0</v>
      </c>
      <c r="R19" s="62">
        <v>0</v>
      </c>
      <c r="S19" s="65">
        <f>Münster14!D19</f>
        <v>0</v>
      </c>
      <c r="T19" s="217">
        <f t="shared" si="7"/>
        <v>0</v>
      </c>
      <c r="U19" s="212">
        <f t="shared" si="0"/>
        <v>0</v>
      </c>
      <c r="V19" s="62">
        <f>Arnsberg14!E19</f>
        <v>0</v>
      </c>
      <c r="W19" s="62">
        <f>Detmold14!E19</f>
        <v>0</v>
      </c>
      <c r="X19" s="62">
        <f>Düsseldorf14!E19</f>
        <v>0</v>
      </c>
      <c r="Y19" s="62">
        <f>Kölle14!E19</f>
        <v>0</v>
      </c>
      <c r="Z19" s="62">
        <f>Münster14!E19</f>
        <v>0</v>
      </c>
      <c r="AA19" s="217">
        <f t="shared" si="8"/>
        <v>0</v>
      </c>
      <c r="AB19" s="104">
        <f t="shared" si="1"/>
        <v>0</v>
      </c>
      <c r="AC19" s="217">
        <f>Arnsberg14!F19+Detmold14!F19+Düsseldorf14!F19+Kölle14!F19+Münster14!F19</f>
        <v>0</v>
      </c>
      <c r="AD19" s="217">
        <f>Arnsberg14!G19+Detmold14!G19+Düsseldorf14!G19+Kölle14!G19+Münster14!G19</f>
        <v>0</v>
      </c>
      <c r="AE19" s="217">
        <v>0</v>
      </c>
    </row>
    <row r="20" spans="1:34" ht="15" thickBot="1" x14ac:dyDescent="0.25">
      <c r="A20" s="11" t="s">
        <v>10</v>
      </c>
      <c r="B20" s="27">
        <v>13</v>
      </c>
      <c r="C20" s="27">
        <v>5</v>
      </c>
      <c r="D20" s="27">
        <v>15</v>
      </c>
      <c r="E20" s="27">
        <v>21</v>
      </c>
      <c r="F20" s="27">
        <v>3</v>
      </c>
      <c r="G20" s="121">
        <f t="shared" si="6"/>
        <v>57</v>
      </c>
      <c r="H20" s="59">
        <v>0</v>
      </c>
      <c r="I20" s="60">
        <f>Detmold14!C20</f>
        <v>0</v>
      </c>
      <c r="J20" s="61">
        <f>Düsseldorf14!C20</f>
        <v>0</v>
      </c>
      <c r="K20" s="62">
        <v>0</v>
      </c>
      <c r="L20" s="48">
        <f>Münster14!C20</f>
        <v>0</v>
      </c>
      <c r="M20" s="217">
        <f t="shared" si="9"/>
        <v>0</v>
      </c>
      <c r="N20" s="51">
        <f t="shared" si="3"/>
        <v>0</v>
      </c>
      <c r="O20" s="62">
        <v>0</v>
      </c>
      <c r="P20" s="62">
        <f>Detmold14!D20</f>
        <v>0</v>
      </c>
      <c r="Q20" s="62">
        <v>0</v>
      </c>
      <c r="R20" s="62">
        <v>0</v>
      </c>
      <c r="S20" s="65">
        <f>Münster14!D20</f>
        <v>0</v>
      </c>
      <c r="T20" s="217">
        <f t="shared" si="7"/>
        <v>0</v>
      </c>
      <c r="U20" s="212">
        <f t="shared" si="0"/>
        <v>0</v>
      </c>
      <c r="V20" s="62">
        <f>Arnsberg14!E20</f>
        <v>0</v>
      </c>
      <c r="W20" s="62">
        <f>Detmold14!E20</f>
        <v>0</v>
      </c>
      <c r="X20" s="62">
        <f>Düsseldorf14!E20</f>
        <v>0</v>
      </c>
      <c r="Y20" s="62">
        <f>Kölle14!E20</f>
        <v>0</v>
      </c>
      <c r="Z20" s="62">
        <f>Münster14!E20</f>
        <v>0</v>
      </c>
      <c r="AA20" s="217">
        <f t="shared" si="8"/>
        <v>0</v>
      </c>
      <c r="AB20" s="104">
        <f t="shared" si="1"/>
        <v>0</v>
      </c>
      <c r="AC20" s="217">
        <f>Arnsberg14!F20+Detmold14!F20+Düsseldorf14!F20+Kölle14!F20+Münster14!F20</f>
        <v>0</v>
      </c>
      <c r="AD20" s="217">
        <f>Arnsberg14!G20+Detmold14!G20+Düsseldorf14!G20+Kölle14!G20+Münster14!G20</f>
        <v>0</v>
      </c>
      <c r="AE20" s="217">
        <v>0</v>
      </c>
    </row>
    <row r="21" spans="1:34" ht="15" thickBot="1" x14ac:dyDescent="0.25">
      <c r="A21" s="11" t="s">
        <v>11</v>
      </c>
      <c r="B21" s="27">
        <v>88</v>
      </c>
      <c r="C21" s="27">
        <v>8</v>
      </c>
      <c r="D21" s="27">
        <v>90</v>
      </c>
      <c r="E21" s="27">
        <v>139</v>
      </c>
      <c r="F21" s="27">
        <v>42</v>
      </c>
      <c r="G21" s="121">
        <f t="shared" si="6"/>
        <v>367</v>
      </c>
      <c r="H21" s="66">
        <v>0</v>
      </c>
      <c r="I21" s="66">
        <f>Detmold14!C21</f>
        <v>0</v>
      </c>
      <c r="J21" s="64">
        <v>0</v>
      </c>
      <c r="K21" s="62">
        <v>0</v>
      </c>
      <c r="L21" s="50">
        <f>Münster14!C21</f>
        <v>0</v>
      </c>
      <c r="M21" s="217">
        <f t="shared" si="9"/>
        <v>0</v>
      </c>
      <c r="N21" s="51">
        <f t="shared" si="3"/>
        <v>0</v>
      </c>
      <c r="O21" s="62">
        <v>0</v>
      </c>
      <c r="P21" s="62">
        <v>0</v>
      </c>
      <c r="Q21" s="62">
        <v>0</v>
      </c>
      <c r="R21" s="62">
        <v>0</v>
      </c>
      <c r="S21" s="64">
        <f>Münster14!D21</f>
        <v>0</v>
      </c>
      <c r="T21" s="217">
        <f t="shared" si="7"/>
        <v>0</v>
      </c>
      <c r="U21" s="212">
        <f t="shared" si="0"/>
        <v>0</v>
      </c>
      <c r="V21" s="62">
        <f>Arnsberg14!E21</f>
        <v>0</v>
      </c>
      <c r="W21" s="62">
        <f>Detmold14!E21</f>
        <v>0</v>
      </c>
      <c r="X21" s="62">
        <v>2</v>
      </c>
      <c r="Y21" s="62">
        <f>Kölle14!E21</f>
        <v>0</v>
      </c>
      <c r="Z21" s="62">
        <v>0</v>
      </c>
      <c r="AA21" s="217">
        <f t="shared" si="8"/>
        <v>2</v>
      </c>
      <c r="AB21" s="104">
        <f t="shared" si="1"/>
        <v>0.54495912806539515</v>
      </c>
      <c r="AC21" s="217">
        <f>Arnsberg14!F21+Detmold14!F21+Düsseldorf14!F21+Kölle14!F21+Münster14!F21</f>
        <v>0</v>
      </c>
      <c r="AD21" s="217">
        <v>2</v>
      </c>
      <c r="AE21" s="217">
        <v>12</v>
      </c>
    </row>
    <row r="22" spans="1:34" ht="15" thickBot="1" x14ac:dyDescent="0.25">
      <c r="A22" s="11" t="s">
        <v>12</v>
      </c>
      <c r="B22" s="27">
        <v>1309</v>
      </c>
      <c r="C22" s="27">
        <v>478</v>
      </c>
      <c r="D22" s="27">
        <v>1725</v>
      </c>
      <c r="E22" s="27">
        <v>1512</v>
      </c>
      <c r="F22" s="27">
        <v>770</v>
      </c>
      <c r="G22" s="121">
        <f t="shared" si="6"/>
        <v>5794</v>
      </c>
      <c r="H22" s="60">
        <v>14</v>
      </c>
      <c r="I22" s="62">
        <v>2</v>
      </c>
      <c r="J22" s="62">
        <v>8</v>
      </c>
      <c r="K22" s="62">
        <v>3</v>
      </c>
      <c r="L22" s="48">
        <v>0</v>
      </c>
      <c r="M22" s="217">
        <f t="shared" si="9"/>
        <v>27</v>
      </c>
      <c r="N22" s="51">
        <f t="shared" si="3"/>
        <v>0.46599930963065239</v>
      </c>
      <c r="O22" s="62">
        <v>12</v>
      </c>
      <c r="P22" s="62">
        <v>3</v>
      </c>
      <c r="Q22" s="62">
        <v>12</v>
      </c>
      <c r="R22" s="62">
        <v>8</v>
      </c>
      <c r="S22" s="62">
        <v>5</v>
      </c>
      <c r="T22" s="217">
        <f t="shared" si="7"/>
        <v>40</v>
      </c>
      <c r="U22" s="212">
        <f t="shared" si="0"/>
        <v>0.69036934760096647</v>
      </c>
      <c r="V22" s="62">
        <v>1</v>
      </c>
      <c r="W22" s="62">
        <v>0</v>
      </c>
      <c r="X22" s="62">
        <v>4</v>
      </c>
      <c r="Y22" s="62">
        <v>4</v>
      </c>
      <c r="Z22" s="62">
        <v>2</v>
      </c>
      <c r="AA22" s="217">
        <f t="shared" si="8"/>
        <v>11</v>
      </c>
      <c r="AB22" s="104">
        <f t="shared" si="1"/>
        <v>0.18985157059026581</v>
      </c>
      <c r="AC22" s="217">
        <v>5</v>
      </c>
      <c r="AD22" s="217">
        <v>4</v>
      </c>
      <c r="AE22" s="217">
        <v>118</v>
      </c>
    </row>
    <row r="23" spans="1:34" ht="15" thickBot="1" x14ac:dyDescent="0.25">
      <c r="A23" s="12" t="s">
        <v>13</v>
      </c>
      <c r="B23" s="29">
        <v>11</v>
      </c>
      <c r="C23" s="29">
        <v>3</v>
      </c>
      <c r="D23" s="27">
        <v>6</v>
      </c>
      <c r="E23" s="29">
        <v>1</v>
      </c>
      <c r="F23" s="27">
        <v>4</v>
      </c>
      <c r="G23" s="121">
        <f t="shared" si="6"/>
        <v>25</v>
      </c>
      <c r="H23" s="67">
        <v>0</v>
      </c>
      <c r="I23" s="68">
        <f>Detmold14!C23</f>
        <v>0</v>
      </c>
      <c r="J23" s="68">
        <f>Düsseldorf14!C23</f>
        <v>0</v>
      </c>
      <c r="K23" s="68">
        <f>Kölle14!C23</f>
        <v>0</v>
      </c>
      <c r="L23" s="69">
        <f>Münster14!C23</f>
        <v>0</v>
      </c>
      <c r="M23" s="217">
        <f t="shared" si="9"/>
        <v>0</v>
      </c>
      <c r="N23" s="51">
        <f t="shared" si="3"/>
        <v>0</v>
      </c>
      <c r="O23" s="68">
        <v>0</v>
      </c>
      <c r="P23" s="68">
        <f>Detmold14!D23</f>
        <v>0</v>
      </c>
      <c r="Q23" s="68">
        <v>0</v>
      </c>
      <c r="R23" s="68">
        <v>0</v>
      </c>
      <c r="S23" s="68">
        <f>Münster14!D23</f>
        <v>0</v>
      </c>
      <c r="T23" s="217">
        <f t="shared" si="7"/>
        <v>0</v>
      </c>
      <c r="U23" s="212">
        <f t="shared" si="0"/>
        <v>0</v>
      </c>
      <c r="V23" s="68">
        <f>Arnsberg14!E23</f>
        <v>0</v>
      </c>
      <c r="W23" s="68">
        <f>Detmold14!E23</f>
        <v>0</v>
      </c>
      <c r="X23" s="68">
        <v>2</v>
      </c>
      <c r="Y23" s="68">
        <f>Kölle14!E23</f>
        <v>0</v>
      </c>
      <c r="Z23" s="68">
        <f>Münster14!E23</f>
        <v>0</v>
      </c>
      <c r="AA23" s="217">
        <f t="shared" si="8"/>
        <v>2</v>
      </c>
      <c r="AB23" s="104">
        <f t="shared" si="1"/>
        <v>8</v>
      </c>
      <c r="AC23" s="217">
        <v>0</v>
      </c>
      <c r="AD23" s="217">
        <f>Arnsberg14!G23+Detmold14!G23+Düsseldorf14!G23+Kölle14!G23+Münster14!G23</f>
        <v>0</v>
      </c>
      <c r="AE23" s="217">
        <v>6</v>
      </c>
    </row>
    <row r="24" spans="1:34" ht="24.75" thickBot="1" x14ac:dyDescent="0.25">
      <c r="A24" s="18" t="s">
        <v>23</v>
      </c>
      <c r="B24" s="23">
        <v>536</v>
      </c>
      <c r="C24" s="23">
        <v>139</v>
      </c>
      <c r="D24" s="27">
        <v>516</v>
      </c>
      <c r="E24" s="23">
        <v>519</v>
      </c>
      <c r="F24" s="27">
        <v>214</v>
      </c>
      <c r="G24" s="121">
        <f t="shared" si="6"/>
        <v>1924</v>
      </c>
      <c r="H24" s="150">
        <v>3</v>
      </c>
      <c r="I24" s="68">
        <f>Detmold14!C24</f>
        <v>0</v>
      </c>
      <c r="J24" s="68">
        <v>2</v>
      </c>
      <c r="K24" s="68">
        <v>1</v>
      </c>
      <c r="L24" s="69">
        <f>Münster14!C24</f>
        <v>1</v>
      </c>
      <c r="M24" s="217">
        <f t="shared" si="9"/>
        <v>7</v>
      </c>
      <c r="N24" s="70">
        <f t="shared" si="3"/>
        <v>0.36382536382536385</v>
      </c>
      <c r="O24" s="89">
        <v>5</v>
      </c>
      <c r="P24" s="68">
        <v>0</v>
      </c>
      <c r="Q24" s="89">
        <v>4</v>
      </c>
      <c r="R24" s="89">
        <v>4</v>
      </c>
      <c r="S24" s="68">
        <v>4</v>
      </c>
      <c r="T24" s="217">
        <f t="shared" si="7"/>
        <v>17</v>
      </c>
      <c r="U24" s="213">
        <f t="shared" si="0"/>
        <v>0.88357588357588357</v>
      </c>
      <c r="V24" s="89">
        <f>Arnsberg14!E24</f>
        <v>0</v>
      </c>
      <c r="W24" s="89">
        <v>2</v>
      </c>
      <c r="X24" s="89">
        <v>0</v>
      </c>
      <c r="Y24" s="89">
        <f>Kölle14!E24</f>
        <v>0</v>
      </c>
      <c r="Z24" s="89">
        <f>Münster14!E24</f>
        <v>0</v>
      </c>
      <c r="AA24" s="217">
        <f t="shared" si="8"/>
        <v>2</v>
      </c>
      <c r="AB24" s="105">
        <f t="shared" si="1"/>
        <v>0.10395010395010396</v>
      </c>
      <c r="AC24" s="217">
        <f>Arnsberg14!F24+Detmold14!F24+Düsseldorf14!F24+Kölle14!F24+Münster14!F24</f>
        <v>0</v>
      </c>
      <c r="AD24" s="217">
        <f>Arnsberg14!G24+Detmold14!G24+Düsseldorf14!G24+Kölle14!G24+Münster14!G24</f>
        <v>0</v>
      </c>
      <c r="AE24" s="217">
        <v>53</v>
      </c>
    </row>
    <row r="25" spans="1:34" ht="15.75" thickBot="1" x14ac:dyDescent="0.3">
      <c r="A25" s="13" t="s">
        <v>22</v>
      </c>
      <c r="B25" s="30">
        <f t="shared" ref="B25:I25" si="10">SUM(B14:B24)</f>
        <v>2296</v>
      </c>
      <c r="C25" s="30">
        <f t="shared" si="10"/>
        <v>722</v>
      </c>
      <c r="D25" s="30">
        <f t="shared" si="10"/>
        <v>2763</v>
      </c>
      <c r="E25" s="30">
        <f t="shared" si="10"/>
        <v>2645</v>
      </c>
      <c r="F25" s="30">
        <f t="shared" si="10"/>
        <v>1201</v>
      </c>
      <c r="G25" s="122">
        <f t="shared" si="10"/>
        <v>9627</v>
      </c>
      <c r="H25" s="71">
        <f t="shared" si="10"/>
        <v>20</v>
      </c>
      <c r="I25" s="72">
        <f t="shared" si="10"/>
        <v>2</v>
      </c>
      <c r="J25" s="72">
        <f>SUM(J14:J24)</f>
        <v>11</v>
      </c>
      <c r="K25" s="72">
        <f t="shared" ref="K25:L25" si="11">SUM(K14:K24)</f>
        <v>6</v>
      </c>
      <c r="L25" s="72">
        <f t="shared" si="11"/>
        <v>1</v>
      </c>
      <c r="M25" s="325">
        <f>SUM(M14:M24)</f>
        <v>38</v>
      </c>
      <c r="N25" s="118">
        <f t="shared" si="3"/>
        <v>0.3947231744053184</v>
      </c>
      <c r="O25" s="116">
        <f t="shared" ref="O25:T25" si="12">SUM(O14:O24)</f>
        <v>18</v>
      </c>
      <c r="P25" s="116">
        <f t="shared" si="12"/>
        <v>3</v>
      </c>
      <c r="Q25" s="116">
        <f t="shared" si="12"/>
        <v>18</v>
      </c>
      <c r="R25" s="116">
        <f>SUM(R14:R24)</f>
        <v>17</v>
      </c>
      <c r="S25" s="116">
        <f t="shared" si="12"/>
        <v>11</v>
      </c>
      <c r="T25" s="328">
        <f t="shared" si="12"/>
        <v>67</v>
      </c>
      <c r="U25" s="214">
        <f t="shared" si="0"/>
        <v>0.69595928118832451</v>
      </c>
      <c r="V25" s="116">
        <f t="shared" ref="V25:AA25" si="13">SUM(V14:V24)</f>
        <v>2</v>
      </c>
      <c r="W25" s="116">
        <f t="shared" si="13"/>
        <v>2</v>
      </c>
      <c r="X25" s="116">
        <f t="shared" si="13"/>
        <v>9</v>
      </c>
      <c r="Y25" s="116">
        <f t="shared" si="13"/>
        <v>5</v>
      </c>
      <c r="Z25" s="116">
        <f t="shared" si="13"/>
        <v>2</v>
      </c>
      <c r="AA25" s="328">
        <f t="shared" si="13"/>
        <v>20</v>
      </c>
      <c r="AB25" s="106">
        <f t="shared" si="1"/>
        <v>0.20774903916069387</v>
      </c>
      <c r="AC25" s="132">
        <f>SUM(AC14:AC24)</f>
        <v>5</v>
      </c>
      <c r="AD25" s="115">
        <f>SUM(AD14:AD24)</f>
        <v>8</v>
      </c>
      <c r="AE25" s="115">
        <f>SUM(AE14:AE24)</f>
        <v>220</v>
      </c>
    </row>
    <row r="26" spans="1:34" ht="14.25" x14ac:dyDescent="0.2">
      <c r="A26" s="5"/>
      <c r="B26" s="31"/>
      <c r="C26" s="31"/>
      <c r="D26" s="31"/>
      <c r="E26" s="31"/>
      <c r="F26" s="31"/>
      <c r="G26" s="125"/>
      <c r="H26" s="73"/>
      <c r="I26" s="73"/>
      <c r="J26" s="73"/>
      <c r="K26" s="73"/>
      <c r="L26" s="53"/>
      <c r="M26" s="53"/>
      <c r="N26" s="95"/>
      <c r="O26" s="73"/>
      <c r="P26" s="73"/>
      <c r="Q26" s="73"/>
      <c r="R26" s="73"/>
      <c r="S26" s="73"/>
      <c r="T26" s="87"/>
      <c r="U26" s="151"/>
      <c r="AA26" s="99"/>
      <c r="AC26" s="99"/>
      <c r="AD26" s="113"/>
      <c r="AE26" s="99"/>
    </row>
    <row r="27" spans="1:34" ht="15.75" thickBot="1" x14ac:dyDescent="0.3">
      <c r="A27" s="6" t="s">
        <v>51</v>
      </c>
      <c r="B27" s="32"/>
      <c r="C27" s="32"/>
      <c r="D27" s="32"/>
      <c r="E27" s="32"/>
      <c r="F27" s="32"/>
      <c r="G27" s="123"/>
      <c r="H27" s="74"/>
      <c r="I27" s="74"/>
      <c r="J27" s="74"/>
      <c r="K27" s="74"/>
      <c r="L27" s="53"/>
      <c r="M27" s="53"/>
      <c r="N27" s="75"/>
      <c r="O27" s="74"/>
      <c r="P27" s="74"/>
      <c r="Q27" s="74"/>
      <c r="R27" s="74"/>
      <c r="S27" s="74"/>
      <c r="T27" s="88"/>
      <c r="U27" s="131"/>
      <c r="AA27" s="99"/>
      <c r="AC27" s="99"/>
      <c r="AD27" s="113"/>
      <c r="AE27" s="99"/>
    </row>
    <row r="28" spans="1:34" ht="15" thickBot="1" x14ac:dyDescent="0.25">
      <c r="A28" s="7" t="s">
        <v>15</v>
      </c>
      <c r="B28" s="22">
        <v>3317</v>
      </c>
      <c r="C28" s="22">
        <v>1913</v>
      </c>
      <c r="D28" s="22">
        <v>3538</v>
      </c>
      <c r="E28" s="22">
        <v>3343</v>
      </c>
      <c r="F28" s="22">
        <v>3129</v>
      </c>
      <c r="G28" s="121">
        <f>SUM(B28:F28)</f>
        <v>15240</v>
      </c>
      <c r="H28" s="44">
        <v>1</v>
      </c>
      <c r="I28" s="45">
        <v>3</v>
      </c>
      <c r="J28" s="45">
        <v>2</v>
      </c>
      <c r="K28" s="45">
        <v>0</v>
      </c>
      <c r="L28" s="76">
        <v>3</v>
      </c>
      <c r="M28" s="217">
        <f>SUM(H28:L28)</f>
        <v>9</v>
      </c>
      <c r="N28" s="77">
        <f t="shared" si="3"/>
        <v>5.905511811023622E-2</v>
      </c>
      <c r="O28" s="45">
        <v>6</v>
      </c>
      <c r="P28" s="45">
        <v>3</v>
      </c>
      <c r="Q28" s="45">
        <v>4</v>
      </c>
      <c r="R28" s="45">
        <v>2</v>
      </c>
      <c r="S28" s="45">
        <v>3</v>
      </c>
      <c r="T28" s="305">
        <f>SUM(O28:S28)</f>
        <v>18</v>
      </c>
      <c r="U28" s="133">
        <f t="shared" si="0"/>
        <v>0.11811023622047244</v>
      </c>
      <c r="V28" s="45">
        <v>0</v>
      </c>
      <c r="W28" s="45">
        <v>1</v>
      </c>
      <c r="X28" s="45">
        <v>2</v>
      </c>
      <c r="Y28" s="45">
        <v>0</v>
      </c>
      <c r="Z28" s="45">
        <v>1</v>
      </c>
      <c r="AA28" s="217">
        <f>SUM(V28:Z28)</f>
        <v>4</v>
      </c>
      <c r="AB28" s="104">
        <f t="shared" si="1"/>
        <v>2.6246719160104987E-2</v>
      </c>
      <c r="AC28" s="217">
        <v>4</v>
      </c>
      <c r="AD28" s="217">
        <v>1</v>
      </c>
      <c r="AE28" s="217">
        <v>62</v>
      </c>
    </row>
    <row r="29" spans="1:34" ht="15" thickBot="1" x14ac:dyDescent="0.25">
      <c r="A29" s="11" t="s">
        <v>16</v>
      </c>
      <c r="B29" s="27">
        <v>1364</v>
      </c>
      <c r="C29" s="27">
        <v>793</v>
      </c>
      <c r="D29" s="27">
        <v>1811</v>
      </c>
      <c r="E29" s="27">
        <v>1498</v>
      </c>
      <c r="F29" s="27">
        <v>1009</v>
      </c>
      <c r="G29" s="121">
        <f t="shared" ref="G29:G36" si="14">SUM(B29:F29)</f>
        <v>6475</v>
      </c>
      <c r="H29" s="60">
        <v>2</v>
      </c>
      <c r="I29" s="62">
        <v>2</v>
      </c>
      <c r="J29" s="62">
        <v>8</v>
      </c>
      <c r="K29" s="62">
        <v>1</v>
      </c>
      <c r="L29" s="48">
        <v>2</v>
      </c>
      <c r="M29" s="217">
        <f t="shared" ref="M29:M36" si="15">SUM(H29:L29)</f>
        <v>15</v>
      </c>
      <c r="N29" s="78">
        <f t="shared" si="3"/>
        <v>0.23166023166023167</v>
      </c>
      <c r="O29" s="62">
        <v>4</v>
      </c>
      <c r="P29" s="62">
        <v>3</v>
      </c>
      <c r="Q29" s="62">
        <v>6</v>
      </c>
      <c r="R29" s="62">
        <v>3</v>
      </c>
      <c r="S29" s="62">
        <v>1</v>
      </c>
      <c r="T29" s="217">
        <f t="shared" ref="T29:T36" si="16">SUM(O29:S29)</f>
        <v>17</v>
      </c>
      <c r="U29" s="92">
        <f t="shared" si="0"/>
        <v>0.26254826254826252</v>
      </c>
      <c r="V29" s="62">
        <v>2</v>
      </c>
      <c r="W29" s="62">
        <v>0</v>
      </c>
      <c r="X29" s="62">
        <v>2</v>
      </c>
      <c r="Y29" s="62">
        <v>0</v>
      </c>
      <c r="Z29" s="62">
        <v>0</v>
      </c>
      <c r="AA29" s="217">
        <f t="shared" ref="AA29:AA36" si="17">SUM(V29:Z29)</f>
        <v>4</v>
      </c>
      <c r="AB29" s="104">
        <f t="shared" si="1"/>
        <v>6.1776061776061778E-2</v>
      </c>
      <c r="AC29" s="217">
        <v>7</v>
      </c>
      <c r="AD29" s="217">
        <v>1</v>
      </c>
      <c r="AE29" s="217">
        <v>53</v>
      </c>
    </row>
    <row r="30" spans="1:34" ht="15" thickBot="1" x14ac:dyDescent="0.25">
      <c r="A30" s="11" t="s">
        <v>35</v>
      </c>
      <c r="B30" s="27">
        <v>1083</v>
      </c>
      <c r="C30" s="27">
        <v>663</v>
      </c>
      <c r="D30" s="27">
        <v>907</v>
      </c>
      <c r="E30" s="27">
        <v>904</v>
      </c>
      <c r="F30" s="27">
        <v>1384</v>
      </c>
      <c r="G30" s="121">
        <f t="shared" si="14"/>
        <v>4941</v>
      </c>
      <c r="H30" s="60">
        <v>0</v>
      </c>
      <c r="I30" s="62">
        <v>2</v>
      </c>
      <c r="J30" s="62">
        <v>0</v>
      </c>
      <c r="K30" s="62">
        <v>0</v>
      </c>
      <c r="L30" s="48">
        <v>0</v>
      </c>
      <c r="M30" s="217">
        <f t="shared" si="15"/>
        <v>2</v>
      </c>
      <c r="N30" s="78">
        <f t="shared" si="3"/>
        <v>4.0477636106051408E-2</v>
      </c>
      <c r="O30" s="62">
        <v>2</v>
      </c>
      <c r="P30" s="62">
        <v>1</v>
      </c>
      <c r="Q30" s="62">
        <v>7</v>
      </c>
      <c r="R30" s="62">
        <v>4</v>
      </c>
      <c r="S30" s="62">
        <v>1</v>
      </c>
      <c r="T30" s="217">
        <f t="shared" si="16"/>
        <v>15</v>
      </c>
      <c r="U30" s="92">
        <f t="shared" si="0"/>
        <v>0.30358227079538552</v>
      </c>
      <c r="V30" s="62">
        <v>2</v>
      </c>
      <c r="W30" s="62">
        <v>0</v>
      </c>
      <c r="X30" s="62">
        <v>0</v>
      </c>
      <c r="Y30" s="62">
        <v>1</v>
      </c>
      <c r="Z30" s="62">
        <v>0</v>
      </c>
      <c r="AA30" s="217">
        <f t="shared" si="17"/>
        <v>3</v>
      </c>
      <c r="AB30" s="104">
        <f t="shared" si="1"/>
        <v>6.0716454159077109E-2</v>
      </c>
      <c r="AC30" s="217">
        <v>2</v>
      </c>
      <c r="AD30" s="217">
        <v>1</v>
      </c>
      <c r="AE30" s="217">
        <v>35</v>
      </c>
    </row>
    <row r="31" spans="1:34" ht="15" thickBot="1" x14ac:dyDescent="0.25">
      <c r="A31" s="11" t="s">
        <v>17</v>
      </c>
      <c r="B31" s="27">
        <v>7345</v>
      </c>
      <c r="C31" s="27">
        <v>4141</v>
      </c>
      <c r="D31" s="27">
        <v>8625</v>
      </c>
      <c r="E31" s="27">
        <v>7353</v>
      </c>
      <c r="F31" s="27">
        <v>6539</v>
      </c>
      <c r="G31" s="121">
        <f t="shared" si="14"/>
        <v>34003</v>
      </c>
      <c r="H31" s="60">
        <v>4</v>
      </c>
      <c r="I31" s="62">
        <v>1</v>
      </c>
      <c r="J31" s="62">
        <v>7</v>
      </c>
      <c r="K31" s="62">
        <v>3</v>
      </c>
      <c r="L31" s="48">
        <v>2</v>
      </c>
      <c r="M31" s="217">
        <f t="shared" si="15"/>
        <v>17</v>
      </c>
      <c r="N31" s="78">
        <f t="shared" si="3"/>
        <v>4.9995588624533127E-2</v>
      </c>
      <c r="O31" s="62">
        <v>5</v>
      </c>
      <c r="P31" s="62">
        <v>2</v>
      </c>
      <c r="Q31" s="62">
        <v>4</v>
      </c>
      <c r="R31" s="62">
        <v>12</v>
      </c>
      <c r="S31" s="62">
        <v>2</v>
      </c>
      <c r="T31" s="217">
        <f t="shared" si="16"/>
        <v>25</v>
      </c>
      <c r="U31" s="92">
        <f t="shared" si="0"/>
        <v>7.3522924447842836E-2</v>
      </c>
      <c r="V31" s="62">
        <v>3</v>
      </c>
      <c r="W31" s="62">
        <v>1</v>
      </c>
      <c r="X31" s="62">
        <v>1</v>
      </c>
      <c r="Y31" s="62">
        <v>4</v>
      </c>
      <c r="Z31" s="62">
        <v>2</v>
      </c>
      <c r="AA31" s="217">
        <f t="shared" si="17"/>
        <v>11</v>
      </c>
      <c r="AB31" s="104">
        <f t="shared" si="1"/>
        <v>3.2350086757050846E-2</v>
      </c>
      <c r="AC31" s="217">
        <v>2</v>
      </c>
      <c r="AD31" s="217">
        <v>4</v>
      </c>
      <c r="AE31" s="217">
        <v>174</v>
      </c>
      <c r="AH31" t="s">
        <v>53</v>
      </c>
    </row>
    <row r="32" spans="1:34" ht="15" thickBot="1" x14ac:dyDescent="0.25">
      <c r="A32" s="11" t="s">
        <v>18</v>
      </c>
      <c r="B32" s="27">
        <v>1805</v>
      </c>
      <c r="C32" s="27">
        <v>1401</v>
      </c>
      <c r="D32" s="27">
        <v>1644</v>
      </c>
      <c r="E32" s="27">
        <v>1423</v>
      </c>
      <c r="F32" s="27">
        <v>3050</v>
      </c>
      <c r="G32" s="121">
        <f t="shared" si="14"/>
        <v>9323</v>
      </c>
      <c r="H32" s="60">
        <v>4</v>
      </c>
      <c r="I32" s="62">
        <v>3</v>
      </c>
      <c r="J32" s="62">
        <v>1</v>
      </c>
      <c r="K32" s="62">
        <v>2</v>
      </c>
      <c r="L32" s="48">
        <v>2</v>
      </c>
      <c r="M32" s="217">
        <f t="shared" si="15"/>
        <v>12</v>
      </c>
      <c r="N32" s="78">
        <f t="shared" si="3"/>
        <v>0.1287139332832779</v>
      </c>
      <c r="O32" s="62">
        <v>4</v>
      </c>
      <c r="P32" s="62">
        <v>1</v>
      </c>
      <c r="Q32" s="62">
        <v>3</v>
      </c>
      <c r="R32" s="62">
        <v>6</v>
      </c>
      <c r="S32" s="62">
        <v>3</v>
      </c>
      <c r="T32" s="217">
        <f t="shared" si="16"/>
        <v>17</v>
      </c>
      <c r="U32" s="92">
        <f t="shared" si="0"/>
        <v>0.18234473881797705</v>
      </c>
      <c r="V32" s="62">
        <v>0</v>
      </c>
      <c r="W32" s="62">
        <v>2</v>
      </c>
      <c r="X32" s="62">
        <v>1</v>
      </c>
      <c r="Y32" s="62">
        <v>0</v>
      </c>
      <c r="Z32" s="62">
        <v>3</v>
      </c>
      <c r="AA32" s="217">
        <f t="shared" si="17"/>
        <v>6</v>
      </c>
      <c r="AB32" s="104">
        <f t="shared" si="1"/>
        <v>6.4356966641638952E-2</v>
      </c>
      <c r="AC32" s="217">
        <v>8</v>
      </c>
      <c r="AD32" s="217">
        <v>3</v>
      </c>
      <c r="AE32" s="217">
        <v>32</v>
      </c>
    </row>
    <row r="33" spans="1:32" ht="15" thickBot="1" x14ac:dyDescent="0.25">
      <c r="A33" s="11" t="s">
        <v>19</v>
      </c>
      <c r="B33" s="27">
        <v>10213</v>
      </c>
      <c r="C33" s="27">
        <v>5584</v>
      </c>
      <c r="D33" s="27">
        <v>11583</v>
      </c>
      <c r="E33" s="27">
        <v>9249</v>
      </c>
      <c r="F33" s="27">
        <v>7284</v>
      </c>
      <c r="G33" s="121">
        <f t="shared" si="14"/>
        <v>43913</v>
      </c>
      <c r="H33" s="60">
        <v>17</v>
      </c>
      <c r="I33" s="62">
        <v>9</v>
      </c>
      <c r="J33" s="62">
        <v>34</v>
      </c>
      <c r="K33" s="62">
        <v>27</v>
      </c>
      <c r="L33" s="48">
        <v>5</v>
      </c>
      <c r="M33" s="217">
        <f t="shared" si="15"/>
        <v>92</v>
      </c>
      <c r="N33" s="78">
        <f t="shared" si="3"/>
        <v>0.20950515792589894</v>
      </c>
      <c r="O33" s="62">
        <v>33</v>
      </c>
      <c r="P33" s="62">
        <v>23</v>
      </c>
      <c r="Q33" s="62">
        <v>35</v>
      </c>
      <c r="R33" s="62">
        <v>27</v>
      </c>
      <c r="S33" s="62">
        <v>22</v>
      </c>
      <c r="T33" s="217">
        <f t="shared" si="16"/>
        <v>140</v>
      </c>
      <c r="U33" s="92">
        <f t="shared" si="0"/>
        <v>0.31881219684375928</v>
      </c>
      <c r="V33" s="62">
        <v>4</v>
      </c>
      <c r="W33" s="62">
        <v>2</v>
      </c>
      <c r="X33" s="62">
        <v>32</v>
      </c>
      <c r="Y33" s="62">
        <v>2</v>
      </c>
      <c r="Z33" s="62">
        <v>7</v>
      </c>
      <c r="AA33" s="217">
        <f t="shared" si="17"/>
        <v>47</v>
      </c>
      <c r="AB33" s="104">
        <f t="shared" si="1"/>
        <v>0.1070298089404049</v>
      </c>
      <c r="AC33" s="217">
        <v>36</v>
      </c>
      <c r="AD33" s="217">
        <v>11</v>
      </c>
      <c r="AE33" s="217">
        <v>336</v>
      </c>
    </row>
    <row r="34" spans="1:32" ht="15" thickBot="1" x14ac:dyDescent="0.25">
      <c r="A34" s="11" t="s">
        <v>20</v>
      </c>
      <c r="B34" s="27">
        <v>7714</v>
      </c>
      <c r="C34" s="27">
        <v>4238</v>
      </c>
      <c r="D34" s="27">
        <v>8755</v>
      </c>
      <c r="E34" s="27">
        <v>8285</v>
      </c>
      <c r="F34" s="27">
        <v>4989</v>
      </c>
      <c r="G34" s="121">
        <f t="shared" si="14"/>
        <v>33981</v>
      </c>
      <c r="H34" s="60">
        <v>16</v>
      </c>
      <c r="I34" s="62">
        <v>4</v>
      </c>
      <c r="J34" s="62">
        <v>17</v>
      </c>
      <c r="K34" s="62">
        <v>19</v>
      </c>
      <c r="L34" s="48">
        <v>9</v>
      </c>
      <c r="M34" s="217">
        <f t="shared" si="15"/>
        <v>65</v>
      </c>
      <c r="N34" s="78">
        <f t="shared" si="3"/>
        <v>0.19128336423295372</v>
      </c>
      <c r="O34" s="62">
        <v>10</v>
      </c>
      <c r="P34" s="62">
        <v>7</v>
      </c>
      <c r="Q34" s="62">
        <v>17</v>
      </c>
      <c r="R34" s="62">
        <v>11</v>
      </c>
      <c r="S34" s="62">
        <v>10</v>
      </c>
      <c r="T34" s="217">
        <f t="shared" si="16"/>
        <v>55</v>
      </c>
      <c r="U34" s="92">
        <f t="shared" si="0"/>
        <v>0.16185515435096084</v>
      </c>
      <c r="V34" s="62">
        <v>3</v>
      </c>
      <c r="W34" s="62">
        <v>1</v>
      </c>
      <c r="X34" s="62">
        <v>9</v>
      </c>
      <c r="Y34" s="62">
        <v>2</v>
      </c>
      <c r="Z34" s="62">
        <v>5</v>
      </c>
      <c r="AA34" s="217">
        <f t="shared" si="17"/>
        <v>20</v>
      </c>
      <c r="AB34" s="104">
        <f t="shared" si="1"/>
        <v>5.8856419763985757E-2</v>
      </c>
      <c r="AC34" s="217">
        <v>19</v>
      </c>
      <c r="AD34" s="217">
        <v>9</v>
      </c>
      <c r="AE34" s="217">
        <v>283</v>
      </c>
    </row>
    <row r="35" spans="1:32" ht="15" thickBot="1" x14ac:dyDescent="0.25">
      <c r="A35" s="11" t="s">
        <v>25</v>
      </c>
      <c r="B35" s="27">
        <v>158</v>
      </c>
      <c r="C35" s="27">
        <v>103</v>
      </c>
      <c r="D35" s="27">
        <v>90</v>
      </c>
      <c r="E35" s="27">
        <v>68</v>
      </c>
      <c r="F35" s="27">
        <v>54</v>
      </c>
      <c r="G35" s="121">
        <f t="shared" si="14"/>
        <v>473</v>
      </c>
      <c r="H35" s="60">
        <v>0</v>
      </c>
      <c r="I35" s="62">
        <v>1</v>
      </c>
      <c r="J35" s="62">
        <v>0</v>
      </c>
      <c r="K35" s="62">
        <v>2</v>
      </c>
      <c r="L35" s="48">
        <v>0</v>
      </c>
      <c r="M35" s="217">
        <f t="shared" si="15"/>
        <v>3</v>
      </c>
      <c r="N35" s="78">
        <f t="shared" si="3"/>
        <v>0.63424947145877375</v>
      </c>
      <c r="O35" s="62">
        <v>1</v>
      </c>
      <c r="P35" s="62">
        <v>7</v>
      </c>
      <c r="Q35" s="62">
        <v>1</v>
      </c>
      <c r="R35" s="62">
        <v>2</v>
      </c>
      <c r="S35" s="62">
        <v>0</v>
      </c>
      <c r="T35" s="217">
        <f t="shared" si="16"/>
        <v>11</v>
      </c>
      <c r="U35" s="92">
        <f t="shared" si="0"/>
        <v>2.3255813953488373</v>
      </c>
      <c r="V35" s="62">
        <v>0</v>
      </c>
      <c r="W35" s="62">
        <v>0</v>
      </c>
      <c r="X35" s="62">
        <v>0</v>
      </c>
      <c r="Y35" s="62">
        <v>1</v>
      </c>
      <c r="Z35" s="62">
        <v>0</v>
      </c>
      <c r="AA35" s="217">
        <f t="shared" si="17"/>
        <v>1</v>
      </c>
      <c r="AB35" s="104">
        <f t="shared" si="1"/>
        <v>0.21141649048625794</v>
      </c>
      <c r="AC35" s="217">
        <v>2</v>
      </c>
      <c r="AD35" s="217">
        <v>0</v>
      </c>
      <c r="AE35" s="217">
        <v>12</v>
      </c>
    </row>
    <row r="36" spans="1:32" ht="15" thickBot="1" x14ac:dyDescent="0.25">
      <c r="A36" s="12" t="s">
        <v>26</v>
      </c>
      <c r="B36" s="29">
        <v>75924</v>
      </c>
      <c r="C36" s="29">
        <v>49048</v>
      </c>
      <c r="D36" s="27">
        <v>107874</v>
      </c>
      <c r="E36" s="29">
        <v>92403</v>
      </c>
      <c r="F36" s="29">
        <v>64902</v>
      </c>
      <c r="G36" s="121">
        <f t="shared" si="14"/>
        <v>390151</v>
      </c>
      <c r="H36" s="67">
        <v>96</v>
      </c>
      <c r="I36" s="68">
        <v>56</v>
      </c>
      <c r="J36" s="68">
        <v>170</v>
      </c>
      <c r="K36" s="68">
        <v>147</v>
      </c>
      <c r="L36" s="69">
        <v>41</v>
      </c>
      <c r="M36" s="217">
        <f t="shared" si="15"/>
        <v>510</v>
      </c>
      <c r="N36" s="96">
        <f t="shared" si="3"/>
        <v>0.13071861920128361</v>
      </c>
      <c r="O36" s="68">
        <v>113</v>
      </c>
      <c r="P36" s="68">
        <v>104</v>
      </c>
      <c r="Q36" s="68">
        <v>237</v>
      </c>
      <c r="R36" s="68">
        <v>188</v>
      </c>
      <c r="S36" s="68">
        <v>92</v>
      </c>
      <c r="T36" s="217">
        <f t="shared" si="16"/>
        <v>734</v>
      </c>
      <c r="U36" s="142">
        <f t="shared" si="0"/>
        <v>0.1881322872426317</v>
      </c>
      <c r="V36" s="68">
        <v>53</v>
      </c>
      <c r="W36" s="68">
        <v>24</v>
      </c>
      <c r="X36" s="68">
        <v>149</v>
      </c>
      <c r="Y36" s="68">
        <v>37</v>
      </c>
      <c r="Z36" s="68">
        <v>43</v>
      </c>
      <c r="AA36" s="217">
        <f t="shared" si="17"/>
        <v>306</v>
      </c>
      <c r="AB36" s="105">
        <f t="shared" si="1"/>
        <v>7.8431171520770157E-2</v>
      </c>
      <c r="AC36" s="217">
        <v>123</v>
      </c>
      <c r="AD36" s="217">
        <v>68</v>
      </c>
      <c r="AE36" s="372">
        <v>3197</v>
      </c>
    </row>
    <row r="37" spans="1:32" ht="15.75" thickBot="1" x14ac:dyDescent="0.3">
      <c r="A37" s="13" t="s">
        <v>21</v>
      </c>
      <c r="B37" s="30">
        <f t="shared" ref="B37:M37" si="18">SUM(B28:B36)</f>
        <v>108923</v>
      </c>
      <c r="C37" s="30">
        <f t="shared" si="18"/>
        <v>67884</v>
      </c>
      <c r="D37" s="30">
        <f t="shared" si="18"/>
        <v>144827</v>
      </c>
      <c r="E37" s="30">
        <f>SUM(E28:E36)</f>
        <v>124526</v>
      </c>
      <c r="F37" s="30">
        <f t="shared" si="18"/>
        <v>92340</v>
      </c>
      <c r="G37" s="122">
        <f t="shared" si="18"/>
        <v>538500</v>
      </c>
      <c r="H37" s="71">
        <f t="shared" si="18"/>
        <v>140</v>
      </c>
      <c r="I37" s="72">
        <f t="shared" si="18"/>
        <v>81</v>
      </c>
      <c r="J37" s="72">
        <f t="shared" si="18"/>
        <v>239</v>
      </c>
      <c r="K37" s="72">
        <f>SUM(K28:K36)</f>
        <v>201</v>
      </c>
      <c r="L37" s="72">
        <f t="shared" si="18"/>
        <v>64</v>
      </c>
      <c r="M37" s="325">
        <f t="shared" si="18"/>
        <v>725</v>
      </c>
      <c r="N37" s="118">
        <f t="shared" si="3"/>
        <v>0.13463324048282266</v>
      </c>
      <c r="O37" s="116">
        <f t="shared" ref="O37:T37" si="19">SUM(O28:O36)</f>
        <v>178</v>
      </c>
      <c r="P37" s="116">
        <f t="shared" si="19"/>
        <v>151</v>
      </c>
      <c r="Q37" s="116">
        <f t="shared" si="19"/>
        <v>314</v>
      </c>
      <c r="R37" s="116">
        <f>SUM(R28:R36)</f>
        <v>255</v>
      </c>
      <c r="S37" s="116">
        <f t="shared" si="19"/>
        <v>134</v>
      </c>
      <c r="T37" s="328">
        <f t="shared" si="19"/>
        <v>1032</v>
      </c>
      <c r="U37" s="91">
        <f t="shared" si="0"/>
        <v>0.19164345403899721</v>
      </c>
      <c r="V37" s="116">
        <f t="shared" ref="V37:AA37" si="20">SUM(V28:V36)</f>
        <v>67</v>
      </c>
      <c r="W37" s="116">
        <f t="shared" si="20"/>
        <v>31</v>
      </c>
      <c r="X37" s="116">
        <f t="shared" si="20"/>
        <v>196</v>
      </c>
      <c r="Y37" s="116">
        <f>SUM(Y28:Y36)</f>
        <v>47</v>
      </c>
      <c r="Z37" s="116">
        <f t="shared" si="20"/>
        <v>61</v>
      </c>
      <c r="AA37" s="328">
        <f t="shared" si="20"/>
        <v>402</v>
      </c>
      <c r="AB37" s="106">
        <f t="shared" si="1"/>
        <v>7.465181058495822E-2</v>
      </c>
      <c r="AC37" s="132">
        <f>SUM(AC28:AC36)</f>
        <v>203</v>
      </c>
      <c r="AD37" s="115">
        <f>SUM(AD28:AD36)</f>
        <v>98</v>
      </c>
      <c r="AE37" s="117">
        <f>SUM(AE28:AE36)</f>
        <v>4184</v>
      </c>
      <c r="AF37" s="153"/>
    </row>
    <row r="38" spans="1:32" ht="15" x14ac:dyDescent="0.25">
      <c r="A38" s="14"/>
      <c r="B38" s="33"/>
      <c r="C38" s="33"/>
      <c r="D38" s="33"/>
      <c r="E38" s="33"/>
      <c r="F38" s="33"/>
      <c r="G38" s="123"/>
      <c r="H38" s="97"/>
      <c r="I38" s="97"/>
      <c r="J38" s="97"/>
      <c r="K38" s="97"/>
      <c r="L38" s="53"/>
      <c r="M38" s="98"/>
      <c r="N38" s="128"/>
      <c r="O38" s="97"/>
      <c r="P38" s="97"/>
      <c r="Q38" s="97"/>
      <c r="R38" s="97"/>
      <c r="S38" s="97"/>
      <c r="T38" s="85"/>
      <c r="U38" s="130"/>
      <c r="AA38" s="99"/>
      <c r="AC38" s="99"/>
      <c r="AD38" s="99"/>
      <c r="AE38" s="99"/>
    </row>
    <row r="39" spans="1:32" ht="15.75" thickBot="1" x14ac:dyDescent="0.3">
      <c r="A39" s="15" t="s">
        <v>28</v>
      </c>
      <c r="B39" s="32"/>
      <c r="C39" s="32"/>
      <c r="D39" s="32"/>
      <c r="E39" s="32"/>
      <c r="F39" s="32"/>
      <c r="G39" s="126"/>
      <c r="H39" s="80"/>
      <c r="I39" s="80"/>
      <c r="J39" s="80"/>
      <c r="K39" s="80"/>
      <c r="L39" s="81"/>
      <c r="M39" s="82"/>
      <c r="N39" s="129"/>
      <c r="O39" s="80"/>
      <c r="P39" s="80"/>
      <c r="Q39" s="80"/>
      <c r="R39" s="80"/>
      <c r="S39" s="80"/>
      <c r="T39" s="79"/>
      <c r="U39" s="131"/>
      <c r="AA39" s="99"/>
      <c r="AC39" s="99"/>
      <c r="AD39" s="99"/>
      <c r="AE39" s="99"/>
    </row>
    <row r="40" spans="1:32" ht="15.75" thickBot="1" x14ac:dyDescent="0.3">
      <c r="A40" s="7" t="s">
        <v>41</v>
      </c>
      <c r="B40" s="27">
        <v>164</v>
      </c>
      <c r="C40" s="27">
        <v>99</v>
      </c>
      <c r="D40" s="27">
        <v>188</v>
      </c>
      <c r="E40" s="317">
        <v>187</v>
      </c>
      <c r="F40" s="317">
        <v>87</v>
      </c>
      <c r="G40" s="127">
        <f>SUM(B40:F40)</f>
        <v>725</v>
      </c>
      <c r="H40" s="44">
        <v>0</v>
      </c>
      <c r="I40" s="45">
        <v>0</v>
      </c>
      <c r="J40" s="45">
        <v>2</v>
      </c>
      <c r="K40" s="45">
        <v>3</v>
      </c>
      <c r="L40" s="83">
        <v>0</v>
      </c>
      <c r="M40" s="217">
        <v>4</v>
      </c>
      <c r="N40" s="144">
        <f t="shared" si="3"/>
        <v>0.55172413793103448</v>
      </c>
      <c r="O40" s="45">
        <v>0</v>
      </c>
      <c r="P40" s="45">
        <v>1</v>
      </c>
      <c r="Q40" s="45">
        <v>2</v>
      </c>
      <c r="R40" s="45">
        <v>1</v>
      </c>
      <c r="S40" s="45">
        <v>0</v>
      </c>
      <c r="T40" s="217">
        <f>SUM(O40:S40)</f>
        <v>4</v>
      </c>
      <c r="U40" s="306">
        <f t="shared" si="0"/>
        <v>0.55172413793103448</v>
      </c>
      <c r="V40" s="307">
        <v>0</v>
      </c>
      <c r="W40" s="307">
        <v>1</v>
      </c>
      <c r="X40" s="307">
        <v>0</v>
      </c>
      <c r="Y40" s="307">
        <f>Kölle14!E40</f>
        <v>0</v>
      </c>
      <c r="Z40" s="165">
        <f>Münster14!E40</f>
        <v>0</v>
      </c>
      <c r="AA40" s="217">
        <f>SUM(V40:Z40)</f>
        <v>1</v>
      </c>
      <c r="AB40" s="107">
        <f t="shared" si="1"/>
        <v>0.13793103448275862</v>
      </c>
      <c r="AC40" s="102">
        <v>0</v>
      </c>
      <c r="AD40" s="102">
        <v>0</v>
      </c>
      <c r="AE40" s="102">
        <v>2</v>
      </c>
    </row>
    <row r="41" spans="1:32" ht="15.75" thickBot="1" x14ac:dyDescent="0.3">
      <c r="A41" s="12" t="s">
        <v>27</v>
      </c>
      <c r="B41" s="319">
        <v>58092</v>
      </c>
      <c r="C41" s="319">
        <v>47849</v>
      </c>
      <c r="D41" s="323">
        <v>36614</v>
      </c>
      <c r="E41" s="320">
        <v>69048</v>
      </c>
      <c r="F41" s="320">
        <v>70478</v>
      </c>
      <c r="G41" s="127">
        <f>SUM(B41:F41)</f>
        <v>282081</v>
      </c>
      <c r="H41" s="67">
        <v>19</v>
      </c>
      <c r="I41" s="68">
        <v>8</v>
      </c>
      <c r="J41" s="68">
        <v>70</v>
      </c>
      <c r="K41" s="68">
        <v>22</v>
      </c>
      <c r="L41" s="69">
        <v>8</v>
      </c>
      <c r="M41" s="217">
        <f>SUM(H41:L41)</f>
        <v>127</v>
      </c>
      <c r="N41" s="145">
        <f t="shared" si="3"/>
        <v>4.5022528989900064E-2</v>
      </c>
      <c r="O41" s="68">
        <v>16</v>
      </c>
      <c r="P41" s="68">
        <v>9</v>
      </c>
      <c r="Q41" s="68">
        <v>30</v>
      </c>
      <c r="R41" s="68">
        <v>15</v>
      </c>
      <c r="S41" s="68">
        <v>7</v>
      </c>
      <c r="T41" s="217">
        <f>SUM(O41:S41)</f>
        <v>77</v>
      </c>
      <c r="U41" s="213">
        <f t="shared" si="0"/>
        <v>2.7297123875766181E-2</v>
      </c>
      <c r="V41" s="313">
        <v>12</v>
      </c>
      <c r="W41" s="313">
        <v>1</v>
      </c>
      <c r="X41" s="314">
        <v>14</v>
      </c>
      <c r="Y41" s="314">
        <v>11</v>
      </c>
      <c r="Z41">
        <v>1</v>
      </c>
      <c r="AA41" s="315">
        <f>SUM(V41:Z41)</f>
        <v>39</v>
      </c>
      <c r="AB41" s="105">
        <f t="shared" si="1"/>
        <v>1.3825815989024428E-2</v>
      </c>
      <c r="AC41" s="114">
        <v>18</v>
      </c>
      <c r="AD41" s="114">
        <v>4</v>
      </c>
      <c r="AE41" s="114">
        <v>570</v>
      </c>
    </row>
    <row r="42" spans="1:32" ht="15.75" thickBot="1" x14ac:dyDescent="0.3">
      <c r="A42" s="13" t="s">
        <v>21</v>
      </c>
      <c r="B42" s="318">
        <f>SUM(B40:B41)</f>
        <v>58256</v>
      </c>
      <c r="C42" s="318">
        <f>SUM(C40:C41)</f>
        <v>47948</v>
      </c>
      <c r="D42" s="318">
        <f>SUM(D40:D41)</f>
        <v>36802</v>
      </c>
      <c r="E42" s="318">
        <f>SUM(E40:E41)</f>
        <v>69235</v>
      </c>
      <c r="F42" s="318">
        <f>SUM(F40:F41)</f>
        <v>70565</v>
      </c>
      <c r="G42" s="308">
        <f t="shared" ref="G42:M42" si="21">SUM(G40:G41)</f>
        <v>282806</v>
      </c>
      <c r="H42" s="120">
        <v>19</v>
      </c>
      <c r="I42" s="120">
        <f>SUM(I40:I41)</f>
        <v>8</v>
      </c>
      <c r="J42" s="120">
        <v>72</v>
      </c>
      <c r="K42" s="120">
        <v>25</v>
      </c>
      <c r="L42" s="120">
        <f>SUM(L40:L41)</f>
        <v>8</v>
      </c>
      <c r="M42" s="328">
        <f t="shared" si="21"/>
        <v>131</v>
      </c>
      <c r="N42" s="149">
        <f t="shared" si="3"/>
        <v>4.632150661584266E-2</v>
      </c>
      <c r="O42" s="72">
        <f>SUM(O40:O41)</f>
        <v>16</v>
      </c>
      <c r="P42" s="72">
        <f>SUM(P40:P41)</f>
        <v>10</v>
      </c>
      <c r="Q42" s="72">
        <f>SUM(Q40:Q41)</f>
        <v>32</v>
      </c>
      <c r="R42" s="72">
        <f>SUM(R40:R41)</f>
        <v>16</v>
      </c>
      <c r="S42" s="72">
        <v>7</v>
      </c>
      <c r="T42" s="329">
        <f>SUM(T40:T41)</f>
        <v>81</v>
      </c>
      <c r="U42" s="214">
        <f t="shared" si="0"/>
        <v>2.8641542258650808E-2</v>
      </c>
      <c r="V42" s="316">
        <v>12</v>
      </c>
      <c r="W42" s="316">
        <f t="shared" ref="W42:AA42" si="22">SUM(W40:W41)</f>
        <v>2</v>
      </c>
      <c r="X42" s="316">
        <f t="shared" si="22"/>
        <v>14</v>
      </c>
      <c r="Y42" s="316">
        <f>SUM(Y40:Y41)</f>
        <v>11</v>
      </c>
      <c r="Z42" s="316">
        <f t="shared" si="22"/>
        <v>1</v>
      </c>
      <c r="AA42" s="330">
        <f t="shared" si="22"/>
        <v>40</v>
      </c>
      <c r="AB42" s="312">
        <f t="shared" si="1"/>
        <v>1.4143971485753484E-2</v>
      </c>
      <c r="AC42" s="115">
        <f>SUM(AC40:AC41)</f>
        <v>18</v>
      </c>
      <c r="AD42" s="132">
        <f>SUM(AD40:AD41)</f>
        <v>4</v>
      </c>
      <c r="AE42" s="132">
        <f>SUM(AE40:AE41)</f>
        <v>572</v>
      </c>
    </row>
    <row r="43" spans="1:32" ht="15.75" thickBot="1" x14ac:dyDescent="0.3">
      <c r="A43" s="134" t="s">
        <v>49</v>
      </c>
      <c r="B43" s="310">
        <f>B11+B25+B37+B42</f>
        <v>171721</v>
      </c>
      <c r="C43" s="321">
        <f>C11+C25+C37+C42</f>
        <v>117039</v>
      </c>
      <c r="D43" s="311">
        <f>D11+D25+D37+D42</f>
        <v>186499</v>
      </c>
      <c r="E43" s="322">
        <f>SUM(B43:D43)</f>
        <v>475259</v>
      </c>
      <c r="F43" s="322">
        <f t="shared" ref="F43:M43" si="23">F11+F25+F37+F42</f>
        <v>164897</v>
      </c>
      <c r="G43" s="309">
        <f t="shared" si="23"/>
        <v>838310</v>
      </c>
      <c r="H43" s="139">
        <f t="shared" si="23"/>
        <v>182</v>
      </c>
      <c r="I43" s="139">
        <f t="shared" si="23"/>
        <v>93</v>
      </c>
      <c r="J43" s="139">
        <f t="shared" si="23"/>
        <v>328</v>
      </c>
      <c r="K43" s="139">
        <f>K11+K25+K37+K42</f>
        <v>235</v>
      </c>
      <c r="L43" s="139">
        <f t="shared" si="23"/>
        <v>74</v>
      </c>
      <c r="M43" s="141">
        <f t="shared" si="23"/>
        <v>909</v>
      </c>
      <c r="N43" s="146">
        <f t="shared" si="3"/>
        <v>0.10843244145960325</v>
      </c>
      <c r="O43" s="147">
        <f t="shared" ref="O43:T43" si="24">O11+O25+O37+O42</f>
        <v>217</v>
      </c>
      <c r="P43" s="148">
        <f t="shared" si="24"/>
        <v>165</v>
      </c>
      <c r="Q43" s="148">
        <f t="shared" si="24"/>
        <v>371</v>
      </c>
      <c r="R43" s="148">
        <f>R11+R25+R37+R42</f>
        <v>299</v>
      </c>
      <c r="S43" s="148">
        <f t="shared" si="24"/>
        <v>157</v>
      </c>
      <c r="T43" s="148">
        <f t="shared" si="24"/>
        <v>1209</v>
      </c>
      <c r="U43" s="94">
        <f t="shared" si="0"/>
        <v>0.14421872576970332</v>
      </c>
      <c r="V43" s="148">
        <f t="shared" ref="V43:AA43" si="25">V11+V25+V37+V42</f>
        <v>83</v>
      </c>
      <c r="W43" s="148">
        <f t="shared" si="25"/>
        <v>35</v>
      </c>
      <c r="X43" s="148">
        <f t="shared" si="25"/>
        <v>222</v>
      </c>
      <c r="Y43" s="148">
        <f t="shared" si="25"/>
        <v>64</v>
      </c>
      <c r="Z43" s="148">
        <f t="shared" si="25"/>
        <v>66</v>
      </c>
      <c r="AA43" s="148">
        <f t="shared" si="25"/>
        <v>470</v>
      </c>
      <c r="AB43" s="106">
        <f t="shared" si="1"/>
        <v>5.6065178752490126E-2</v>
      </c>
      <c r="AC43" s="140">
        <f>AC11+AC25+AC37+AC42</f>
        <v>235</v>
      </c>
      <c r="AD43" s="324">
        <f>AD11+AD25+AD37+AD42</f>
        <v>114</v>
      </c>
      <c r="AE43" s="140">
        <f>AE11+AE25+AE37+AE42</f>
        <v>5118</v>
      </c>
    </row>
    <row r="44" spans="1:32" ht="14.2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</row>
    <row r="46" spans="1:32" x14ac:dyDescent="0.2">
      <c r="B46" s="20"/>
      <c r="C46" s="21"/>
      <c r="D46" s="20"/>
      <c r="E46" s="21"/>
    </row>
  </sheetData>
  <mergeCells count="7">
    <mergeCell ref="A1:AE1"/>
    <mergeCell ref="A3:A4"/>
    <mergeCell ref="B3:G3"/>
    <mergeCell ref="H3:M3"/>
    <mergeCell ref="O3:T3"/>
    <mergeCell ref="U3:U4"/>
    <mergeCell ref="AB3:AB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H42"/>
  <sheetViews>
    <sheetView zoomScaleNormal="100" workbookViewId="0">
      <selection activeCell="D36" sqref="D36"/>
    </sheetView>
  </sheetViews>
  <sheetFormatPr baseColWidth="10" defaultRowHeight="12.75" x14ac:dyDescent="0.2"/>
  <cols>
    <col min="1" max="1" width="26" bestFit="1" customWidth="1"/>
    <col min="2" max="2" width="17" customWidth="1"/>
    <col min="3" max="3" width="23.140625" customWidth="1"/>
    <col min="4" max="4" width="21.42578125" customWidth="1"/>
    <col min="5" max="5" width="16.42578125" customWidth="1"/>
    <col min="6" max="6" width="18.5703125" customWidth="1"/>
    <col min="7" max="7" width="18.42578125" customWidth="1"/>
    <col min="8" max="8" width="20.42578125" customWidth="1"/>
  </cols>
  <sheetData>
    <row r="1" spans="1:8" s="1" customFormat="1" ht="35.1" customHeight="1" x14ac:dyDescent="0.25">
      <c r="A1" s="730" t="s">
        <v>54</v>
      </c>
      <c r="B1" s="730"/>
      <c r="C1" s="730"/>
      <c r="D1" s="730"/>
      <c r="E1" s="730"/>
      <c r="F1" s="730"/>
      <c r="G1" s="730"/>
      <c r="H1" s="210" t="s">
        <v>72</v>
      </c>
    </row>
    <row r="2" spans="1:8" ht="2.4500000000000002" customHeight="1" thickBot="1" x14ac:dyDescent="0.25"/>
    <row r="3" spans="1:8" ht="57" customHeight="1" x14ac:dyDescent="0.2">
      <c r="A3" s="743" t="s">
        <v>24</v>
      </c>
      <c r="B3" s="741" t="s">
        <v>0</v>
      </c>
      <c r="C3" s="743" t="s">
        <v>56</v>
      </c>
      <c r="D3" s="745" t="s">
        <v>57</v>
      </c>
      <c r="E3" s="747" t="s">
        <v>58</v>
      </c>
      <c r="F3" s="154" t="s">
        <v>46</v>
      </c>
      <c r="G3" s="749" t="s">
        <v>59</v>
      </c>
      <c r="H3" s="750"/>
    </row>
    <row r="4" spans="1:8" ht="16.5" thickBot="1" x14ac:dyDescent="0.3">
      <c r="A4" s="744"/>
      <c r="B4" s="742"/>
      <c r="C4" s="744"/>
      <c r="D4" s="746"/>
      <c r="E4" s="748"/>
      <c r="F4" s="155"/>
      <c r="G4" s="156" t="s">
        <v>60</v>
      </c>
      <c r="H4" s="157" t="s">
        <v>61</v>
      </c>
    </row>
    <row r="5" spans="1:8" ht="15.75" thickBot="1" x14ac:dyDescent="0.3">
      <c r="A5" s="3" t="s">
        <v>62</v>
      </c>
      <c r="F5" s="152"/>
    </row>
    <row r="6" spans="1:8" ht="14.25" x14ac:dyDescent="0.2">
      <c r="A6" s="7" t="s">
        <v>1</v>
      </c>
      <c r="B6" s="158">
        <v>129</v>
      </c>
      <c r="C6" s="159">
        <v>0</v>
      </c>
      <c r="D6" s="158">
        <v>1</v>
      </c>
      <c r="E6" s="159">
        <v>0</v>
      </c>
      <c r="F6" s="160">
        <v>0</v>
      </c>
      <c r="G6" s="161">
        <v>0</v>
      </c>
      <c r="H6" s="162">
        <v>0</v>
      </c>
    </row>
    <row r="7" spans="1:8" ht="14.25" x14ac:dyDescent="0.2">
      <c r="A7" s="8" t="s">
        <v>2</v>
      </c>
      <c r="B7" s="163">
        <v>958</v>
      </c>
      <c r="C7" s="164">
        <v>2</v>
      </c>
      <c r="D7" s="163">
        <v>8</v>
      </c>
      <c r="E7" s="164">
        <v>4</v>
      </c>
      <c r="F7" s="163">
        <v>1</v>
      </c>
      <c r="G7" s="165">
        <v>2</v>
      </c>
      <c r="H7" s="166">
        <v>6</v>
      </c>
    </row>
    <row r="8" spans="1:8" ht="14.25" x14ac:dyDescent="0.2">
      <c r="A8" s="8" t="s">
        <v>14</v>
      </c>
      <c r="B8" s="163">
        <v>98</v>
      </c>
      <c r="C8" s="164">
        <v>0</v>
      </c>
      <c r="D8" s="163">
        <v>0</v>
      </c>
      <c r="E8" s="164">
        <v>0</v>
      </c>
      <c r="F8" s="163">
        <v>0</v>
      </c>
      <c r="G8" s="165">
        <v>0</v>
      </c>
      <c r="H8" s="167">
        <v>0</v>
      </c>
    </row>
    <row r="9" spans="1:8" ht="14.25" x14ac:dyDescent="0.2">
      <c r="A9" s="9" t="s">
        <v>3</v>
      </c>
      <c r="B9" s="168">
        <v>145</v>
      </c>
      <c r="C9" s="169">
        <v>0</v>
      </c>
      <c r="D9" s="168">
        <v>0</v>
      </c>
      <c r="E9" s="169">
        <v>0</v>
      </c>
      <c r="F9" s="168">
        <v>0</v>
      </c>
      <c r="G9" s="170">
        <v>0</v>
      </c>
      <c r="H9" s="171">
        <v>0</v>
      </c>
    </row>
    <row r="10" spans="1:8" ht="29.45" customHeight="1" thickBot="1" x14ac:dyDescent="0.25">
      <c r="A10" s="172" t="s">
        <v>23</v>
      </c>
      <c r="B10" s="173">
        <v>993</v>
      </c>
      <c r="C10" s="174">
        <v>2</v>
      </c>
      <c r="D10" s="173">
        <v>2</v>
      </c>
      <c r="E10" s="174">
        <v>0</v>
      </c>
      <c r="F10" s="173">
        <v>3</v>
      </c>
      <c r="G10" s="175">
        <v>0</v>
      </c>
      <c r="H10" s="176">
        <v>20</v>
      </c>
    </row>
    <row r="11" spans="1:8" ht="15" thickBot="1" x14ac:dyDescent="0.25">
      <c r="A11" s="10" t="s">
        <v>21</v>
      </c>
      <c r="B11" s="108">
        <v>2323</v>
      </c>
      <c r="C11" s="177">
        <v>4</v>
      </c>
      <c r="D11" s="108">
        <v>11</v>
      </c>
      <c r="E11" s="177">
        <v>4</v>
      </c>
      <c r="F11" s="108">
        <v>4</v>
      </c>
      <c r="G11" s="178">
        <v>2</v>
      </c>
      <c r="H11" s="179">
        <v>26</v>
      </c>
    </row>
    <row r="12" spans="1:8" ht="14.25" x14ac:dyDescent="0.2">
      <c r="A12" s="4"/>
      <c r="B12" s="2"/>
      <c r="C12" s="2"/>
      <c r="D12" s="2"/>
      <c r="E12" s="2"/>
      <c r="F12" s="161"/>
      <c r="G12" s="2"/>
      <c r="H12" s="180"/>
    </row>
    <row r="13" spans="1:8" ht="15.75" thickBot="1" x14ac:dyDescent="0.3">
      <c r="A13" s="3" t="s">
        <v>63</v>
      </c>
      <c r="F13" s="181"/>
    </row>
    <row r="14" spans="1:8" ht="14.25" x14ac:dyDescent="0.2">
      <c r="A14" s="7" t="s">
        <v>4</v>
      </c>
      <c r="B14" s="158">
        <v>26</v>
      </c>
      <c r="C14" s="159">
        <v>0</v>
      </c>
      <c r="D14" s="158">
        <v>0</v>
      </c>
      <c r="E14" s="159">
        <v>0</v>
      </c>
      <c r="F14" s="158">
        <v>0</v>
      </c>
      <c r="G14" s="182">
        <v>0</v>
      </c>
      <c r="H14" s="183">
        <v>0</v>
      </c>
    </row>
    <row r="15" spans="1:8" ht="14.25" x14ac:dyDescent="0.2">
      <c r="A15" s="11" t="s">
        <v>5</v>
      </c>
      <c r="B15" s="163">
        <v>193</v>
      </c>
      <c r="C15" s="164">
        <v>0</v>
      </c>
      <c r="D15" s="163">
        <v>1</v>
      </c>
      <c r="E15" s="164">
        <v>0</v>
      </c>
      <c r="F15" s="163">
        <v>0</v>
      </c>
      <c r="G15" s="165">
        <v>0</v>
      </c>
      <c r="H15" s="166">
        <v>4</v>
      </c>
    </row>
    <row r="16" spans="1:8" ht="14.25" x14ac:dyDescent="0.2">
      <c r="A16" s="11" t="s">
        <v>6</v>
      </c>
      <c r="B16" s="163">
        <v>80</v>
      </c>
      <c r="C16" s="164">
        <v>0</v>
      </c>
      <c r="D16" s="163">
        <v>0</v>
      </c>
      <c r="E16" s="164">
        <v>0</v>
      </c>
      <c r="F16" s="163">
        <v>0</v>
      </c>
      <c r="G16" s="165">
        <v>0</v>
      </c>
      <c r="H16" s="167">
        <v>0</v>
      </c>
    </row>
    <row r="17" spans="1:8" ht="14.25" x14ac:dyDescent="0.2">
      <c r="A17" s="11" t="s">
        <v>7</v>
      </c>
      <c r="B17" s="163">
        <v>36</v>
      </c>
      <c r="C17" s="164">
        <v>0</v>
      </c>
      <c r="D17" s="163">
        <v>0</v>
      </c>
      <c r="E17" s="164">
        <v>0</v>
      </c>
      <c r="F17" s="163">
        <v>0</v>
      </c>
      <c r="G17" s="165">
        <v>0</v>
      </c>
      <c r="H17" s="167">
        <v>2</v>
      </c>
    </row>
    <row r="18" spans="1:8" ht="14.25" x14ac:dyDescent="0.2">
      <c r="A18" s="11" t="s">
        <v>8</v>
      </c>
      <c r="B18" s="163">
        <v>9</v>
      </c>
      <c r="C18" s="164">
        <v>0</v>
      </c>
      <c r="D18" s="163">
        <v>0</v>
      </c>
      <c r="E18" s="164">
        <v>0</v>
      </c>
      <c r="F18" s="163">
        <v>0</v>
      </c>
      <c r="G18" s="165">
        <v>0</v>
      </c>
      <c r="H18" s="167">
        <v>0</v>
      </c>
    </row>
    <row r="19" spans="1:8" ht="14.25" x14ac:dyDescent="0.2">
      <c r="A19" s="11" t="s">
        <v>9</v>
      </c>
      <c r="B19" s="163">
        <v>19</v>
      </c>
      <c r="C19" s="164">
        <v>1</v>
      </c>
      <c r="D19" s="163">
        <v>0</v>
      </c>
      <c r="E19" s="164">
        <v>0</v>
      </c>
      <c r="F19" s="163">
        <v>0</v>
      </c>
      <c r="G19" s="165">
        <v>0</v>
      </c>
      <c r="H19" s="167">
        <v>0</v>
      </c>
    </row>
    <row r="20" spans="1:8" ht="14.25" x14ac:dyDescent="0.2">
      <c r="A20" s="11" t="s">
        <v>10</v>
      </c>
      <c r="B20" s="163">
        <v>14</v>
      </c>
      <c r="C20" s="164">
        <v>0</v>
      </c>
      <c r="D20" s="163">
        <v>0</v>
      </c>
      <c r="E20" s="164">
        <v>0</v>
      </c>
      <c r="F20" s="163">
        <v>0</v>
      </c>
      <c r="G20" s="165">
        <v>0</v>
      </c>
      <c r="H20" s="167">
        <v>0</v>
      </c>
    </row>
    <row r="21" spans="1:8" ht="14.25" x14ac:dyDescent="0.2">
      <c r="A21" s="11" t="s">
        <v>11</v>
      </c>
      <c r="B21" s="163">
        <v>74</v>
      </c>
      <c r="C21" s="164">
        <v>0</v>
      </c>
      <c r="D21" s="163">
        <v>0</v>
      </c>
      <c r="E21" s="164">
        <v>0</v>
      </c>
      <c r="F21" s="163">
        <v>0</v>
      </c>
      <c r="G21" s="165">
        <v>0</v>
      </c>
      <c r="H21" s="167">
        <v>3</v>
      </c>
    </row>
    <row r="22" spans="1:8" ht="14.25" x14ac:dyDescent="0.2">
      <c r="A22" s="11" t="s">
        <v>12</v>
      </c>
      <c r="B22" s="163">
        <v>1413</v>
      </c>
      <c r="C22" s="164">
        <v>7</v>
      </c>
      <c r="D22" s="163">
        <v>2</v>
      </c>
      <c r="E22" s="164">
        <v>0</v>
      </c>
      <c r="F22" s="163">
        <v>0</v>
      </c>
      <c r="G22" s="165">
        <v>1</v>
      </c>
      <c r="H22" s="166">
        <v>14</v>
      </c>
    </row>
    <row r="23" spans="1:8" ht="14.25" x14ac:dyDescent="0.2">
      <c r="A23" s="12" t="s">
        <v>13</v>
      </c>
      <c r="B23" s="168">
        <v>7</v>
      </c>
      <c r="C23" s="169">
        <v>0</v>
      </c>
      <c r="D23" s="168">
        <v>1</v>
      </c>
      <c r="E23" s="169">
        <v>0</v>
      </c>
      <c r="F23" s="168">
        <v>2</v>
      </c>
      <c r="G23" s="170">
        <v>0</v>
      </c>
      <c r="H23" s="184">
        <v>0</v>
      </c>
    </row>
    <row r="24" spans="1:8" ht="27" customHeight="1" thickBot="1" x14ac:dyDescent="0.25">
      <c r="A24" s="172" t="s">
        <v>23</v>
      </c>
      <c r="B24" s="173">
        <v>471</v>
      </c>
      <c r="C24" s="174">
        <v>1</v>
      </c>
      <c r="D24" s="173">
        <v>0</v>
      </c>
      <c r="E24" s="174">
        <v>0</v>
      </c>
      <c r="F24" s="173">
        <v>0</v>
      </c>
      <c r="G24" s="175">
        <v>0</v>
      </c>
      <c r="H24" s="185">
        <v>2</v>
      </c>
    </row>
    <row r="25" spans="1:8" ht="15" thickBot="1" x14ac:dyDescent="0.25">
      <c r="A25" s="13" t="s">
        <v>22</v>
      </c>
      <c r="B25" s="108">
        <v>2342</v>
      </c>
      <c r="C25" s="187">
        <v>9</v>
      </c>
      <c r="D25" s="188">
        <v>4</v>
      </c>
      <c r="E25" s="177">
        <v>0</v>
      </c>
      <c r="F25" s="108">
        <v>2</v>
      </c>
      <c r="G25" s="178">
        <v>1</v>
      </c>
      <c r="H25" s="188">
        <v>25</v>
      </c>
    </row>
    <row r="26" spans="1:8" ht="14.25" x14ac:dyDescent="0.2">
      <c r="A26" s="5"/>
      <c r="B26" s="2"/>
      <c r="C26" s="2"/>
      <c r="D26" s="2"/>
      <c r="E26" s="2"/>
      <c r="F26" s="161"/>
      <c r="G26" s="2"/>
      <c r="H26" s="2"/>
    </row>
    <row r="27" spans="1:8" ht="15.75" thickBot="1" x14ac:dyDescent="0.3">
      <c r="A27" s="6" t="s">
        <v>64</v>
      </c>
      <c r="B27" s="2"/>
      <c r="C27" s="2"/>
      <c r="D27" s="2"/>
      <c r="E27" s="2"/>
      <c r="F27" s="181"/>
      <c r="G27" s="2"/>
      <c r="H27" s="2"/>
    </row>
    <row r="28" spans="1:8" ht="14.25" x14ac:dyDescent="0.2">
      <c r="A28" s="7" t="s">
        <v>15</v>
      </c>
      <c r="B28" s="158">
        <v>3626</v>
      </c>
      <c r="C28" s="159">
        <v>1</v>
      </c>
      <c r="D28" s="158">
        <v>4</v>
      </c>
      <c r="E28" s="159">
        <v>1</v>
      </c>
      <c r="F28" s="158">
        <v>1</v>
      </c>
      <c r="G28" s="182">
        <v>0</v>
      </c>
      <c r="H28" s="183">
        <v>5</v>
      </c>
    </row>
    <row r="29" spans="1:8" ht="14.25" x14ac:dyDescent="0.2">
      <c r="A29" s="11" t="s">
        <v>16</v>
      </c>
      <c r="B29" s="163">
        <v>1423</v>
      </c>
      <c r="C29" s="164">
        <v>6</v>
      </c>
      <c r="D29" s="163">
        <v>6</v>
      </c>
      <c r="E29" s="164">
        <v>5</v>
      </c>
      <c r="F29" s="163">
        <v>3</v>
      </c>
      <c r="G29" s="165">
        <v>2</v>
      </c>
      <c r="H29" s="167">
        <v>13</v>
      </c>
    </row>
    <row r="30" spans="1:8" ht="14.25" x14ac:dyDescent="0.2">
      <c r="A30" s="11" t="s">
        <v>35</v>
      </c>
      <c r="B30" s="163">
        <v>1049</v>
      </c>
      <c r="C30" s="164">
        <v>0</v>
      </c>
      <c r="D30" s="163">
        <v>3</v>
      </c>
      <c r="E30" s="164">
        <v>0</v>
      </c>
      <c r="F30" s="163">
        <v>2</v>
      </c>
      <c r="G30" s="165">
        <v>0</v>
      </c>
      <c r="H30" s="167">
        <v>6</v>
      </c>
    </row>
    <row r="31" spans="1:8" ht="14.25" x14ac:dyDescent="0.2">
      <c r="A31" s="11" t="s">
        <v>17</v>
      </c>
      <c r="B31" s="163">
        <v>7564</v>
      </c>
      <c r="C31" s="164">
        <v>4</v>
      </c>
      <c r="D31" s="163">
        <v>5</v>
      </c>
      <c r="E31" s="164">
        <v>0</v>
      </c>
      <c r="F31" s="163">
        <v>1</v>
      </c>
      <c r="G31" s="165">
        <v>0</v>
      </c>
      <c r="H31" s="167">
        <v>17</v>
      </c>
    </row>
    <row r="32" spans="1:8" ht="14.25" x14ac:dyDescent="0.2">
      <c r="A32" s="11" t="s">
        <v>18</v>
      </c>
      <c r="B32" s="163">
        <v>2082</v>
      </c>
      <c r="C32" s="164">
        <v>2</v>
      </c>
      <c r="D32" s="163">
        <v>1</v>
      </c>
      <c r="E32" s="164">
        <v>1</v>
      </c>
      <c r="F32" s="163">
        <v>2</v>
      </c>
      <c r="G32" s="165">
        <v>1</v>
      </c>
      <c r="H32" s="167">
        <v>2</v>
      </c>
    </row>
    <row r="33" spans="1:8" ht="14.25" x14ac:dyDescent="0.2">
      <c r="A33" s="11" t="s">
        <v>19</v>
      </c>
      <c r="B33" s="163">
        <v>10792</v>
      </c>
      <c r="C33" s="164">
        <v>26</v>
      </c>
      <c r="D33" s="163">
        <v>37</v>
      </c>
      <c r="E33" s="164">
        <v>20</v>
      </c>
      <c r="F33" s="163">
        <v>18</v>
      </c>
      <c r="G33" s="165">
        <v>6</v>
      </c>
      <c r="H33" s="167">
        <v>74</v>
      </c>
    </row>
    <row r="34" spans="1:8" ht="14.25" x14ac:dyDescent="0.2">
      <c r="A34" s="11" t="s">
        <v>20</v>
      </c>
      <c r="B34" s="163">
        <v>7731</v>
      </c>
      <c r="C34" s="164">
        <v>19</v>
      </c>
      <c r="D34" s="163">
        <v>22</v>
      </c>
      <c r="E34" s="164">
        <v>6</v>
      </c>
      <c r="F34" s="163">
        <v>15</v>
      </c>
      <c r="G34" s="165">
        <v>4</v>
      </c>
      <c r="H34" s="167">
        <v>66</v>
      </c>
    </row>
    <row r="35" spans="1:8" ht="14.25" x14ac:dyDescent="0.2">
      <c r="A35" s="11" t="s">
        <v>25</v>
      </c>
      <c r="B35" s="163">
        <v>58</v>
      </c>
      <c r="C35" s="164">
        <v>0</v>
      </c>
      <c r="D35" s="163">
        <v>0</v>
      </c>
      <c r="E35" s="164">
        <v>0</v>
      </c>
      <c r="F35" s="163">
        <v>1</v>
      </c>
      <c r="G35" s="165">
        <v>0</v>
      </c>
      <c r="H35" s="167">
        <v>2</v>
      </c>
    </row>
    <row r="36" spans="1:8" ht="15" thickBot="1" x14ac:dyDescent="0.25">
      <c r="A36" s="12" t="s">
        <v>26</v>
      </c>
      <c r="B36" s="168">
        <v>71086</v>
      </c>
      <c r="C36" s="169">
        <v>89</v>
      </c>
      <c r="D36" s="168">
        <v>150</v>
      </c>
      <c r="E36" s="169">
        <v>65</v>
      </c>
      <c r="F36" s="168">
        <v>28</v>
      </c>
      <c r="G36" s="170">
        <v>13</v>
      </c>
      <c r="H36" s="184">
        <v>412</v>
      </c>
    </row>
    <row r="37" spans="1:8" ht="15" thickBot="1" x14ac:dyDescent="0.25">
      <c r="A37" s="13" t="s">
        <v>21</v>
      </c>
      <c r="B37" s="108">
        <v>105411</v>
      </c>
      <c r="C37" s="177">
        <v>147</v>
      </c>
      <c r="D37" s="108">
        <v>228</v>
      </c>
      <c r="E37" s="177">
        <v>98</v>
      </c>
      <c r="F37" s="108">
        <v>71</v>
      </c>
      <c r="G37" s="178">
        <v>26</v>
      </c>
      <c r="H37" s="188">
        <v>597</v>
      </c>
    </row>
    <row r="38" spans="1:8" ht="14.25" x14ac:dyDescent="0.2">
      <c r="A38" s="14"/>
      <c r="B38" s="161"/>
      <c r="C38" s="161"/>
      <c r="D38" s="161"/>
      <c r="E38" s="161"/>
      <c r="F38" s="161"/>
      <c r="G38" s="161"/>
      <c r="H38" s="161"/>
    </row>
    <row r="39" spans="1:8" ht="15.75" thickBot="1" x14ac:dyDescent="0.3">
      <c r="A39" s="15" t="s">
        <v>28</v>
      </c>
      <c r="B39" s="181"/>
      <c r="C39" s="181"/>
      <c r="D39" s="181"/>
      <c r="E39" s="181"/>
      <c r="F39" s="181"/>
      <c r="G39" s="181"/>
      <c r="H39" s="181"/>
    </row>
    <row r="40" spans="1:8" ht="14.25" x14ac:dyDescent="0.2">
      <c r="A40" s="7" t="s">
        <v>69</v>
      </c>
      <c r="B40" s="158">
        <v>141</v>
      </c>
      <c r="C40" s="159">
        <v>2</v>
      </c>
      <c r="D40" s="158">
        <v>0</v>
      </c>
      <c r="E40" s="159">
        <v>0</v>
      </c>
      <c r="F40" s="158">
        <v>0</v>
      </c>
      <c r="G40" s="182">
        <v>0</v>
      </c>
      <c r="H40" s="183">
        <v>0</v>
      </c>
    </row>
    <row r="41" spans="1:8" ht="15" thickBot="1" x14ac:dyDescent="0.25">
      <c r="A41" s="12" t="s">
        <v>27</v>
      </c>
      <c r="B41" s="168">
        <v>57256</v>
      </c>
      <c r="C41" s="169">
        <v>20</v>
      </c>
      <c r="D41" s="168">
        <v>13</v>
      </c>
      <c r="E41" s="169">
        <v>13</v>
      </c>
      <c r="F41" s="168">
        <v>7</v>
      </c>
      <c r="G41" s="170">
        <v>0</v>
      </c>
      <c r="H41" s="184">
        <v>29</v>
      </c>
    </row>
    <row r="42" spans="1:8" ht="15" thickBot="1" x14ac:dyDescent="0.25">
      <c r="A42" s="13" t="s">
        <v>21</v>
      </c>
      <c r="B42" s="108">
        <v>57397</v>
      </c>
      <c r="C42" s="177">
        <v>22</v>
      </c>
      <c r="D42" s="108">
        <v>13</v>
      </c>
      <c r="E42" s="177">
        <v>13</v>
      </c>
      <c r="F42" s="108">
        <v>7</v>
      </c>
      <c r="G42" s="178">
        <v>0</v>
      </c>
      <c r="H42" s="188">
        <v>29</v>
      </c>
    </row>
  </sheetData>
  <mergeCells count="7">
    <mergeCell ref="A1:G1"/>
    <mergeCell ref="A3:A4"/>
    <mergeCell ref="B3:B4"/>
    <mergeCell ref="C3:C4"/>
    <mergeCell ref="D3:D4"/>
    <mergeCell ref="E3:E4"/>
    <mergeCell ref="G3:H3"/>
  </mergeCells>
  <pageMargins left="0.39370078740157483" right="0.39370078740157483" top="0.19685039370078741" bottom="0.19685039370078741" header="0.51181102362204722" footer="0.51181102362204722"/>
  <pageSetup paperSize="9" scale="83" orientation="landscape" horizontalDpi="300" verticalDpi="300" r:id="rId1"/>
  <headerFooter alignWithMargins="0">
    <oddHeader>&amp;L&amp;F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pageSetUpPr fitToPage="1"/>
  </sheetPr>
  <dimension ref="A1:J42"/>
  <sheetViews>
    <sheetView zoomScale="80" zoomScaleNormal="80" workbookViewId="0">
      <selection activeCell="D36" sqref="D36"/>
    </sheetView>
  </sheetViews>
  <sheetFormatPr baseColWidth="10" defaultRowHeight="12.75" x14ac:dyDescent="0.2"/>
  <cols>
    <col min="1" max="1" width="26" bestFit="1" customWidth="1"/>
    <col min="2" max="2" width="17" customWidth="1"/>
    <col min="3" max="3" width="23.140625" customWidth="1"/>
    <col min="4" max="4" width="21.42578125" customWidth="1"/>
    <col min="5" max="5" width="16.42578125" customWidth="1"/>
    <col min="6" max="6" width="18.5703125" customWidth="1"/>
    <col min="7" max="7" width="18.42578125" customWidth="1"/>
    <col min="8" max="8" width="20.42578125" customWidth="1"/>
  </cols>
  <sheetData>
    <row r="1" spans="1:10" s="1" customFormat="1" ht="35.1" customHeight="1" x14ac:dyDescent="0.25">
      <c r="A1" s="730" t="s">
        <v>54</v>
      </c>
      <c r="B1" s="730"/>
      <c r="C1" s="730"/>
      <c r="D1" s="730"/>
      <c r="E1" s="730"/>
      <c r="F1" s="751"/>
      <c r="G1" s="752" t="s">
        <v>70</v>
      </c>
      <c r="H1" s="753"/>
    </row>
    <row r="2" spans="1:10" ht="10.35" customHeight="1" thickBot="1" x14ac:dyDescent="0.25">
      <c r="J2" t="s">
        <v>71</v>
      </c>
    </row>
    <row r="3" spans="1:10" ht="57" customHeight="1" x14ac:dyDescent="0.2">
      <c r="A3" s="743" t="s">
        <v>24</v>
      </c>
      <c r="B3" s="741" t="s">
        <v>0</v>
      </c>
      <c r="C3" s="743" t="s">
        <v>56</v>
      </c>
      <c r="D3" s="745" t="s">
        <v>57</v>
      </c>
      <c r="E3" s="747" t="s">
        <v>58</v>
      </c>
      <c r="F3" s="154" t="s">
        <v>46</v>
      </c>
      <c r="G3" s="749" t="s">
        <v>59</v>
      </c>
      <c r="H3" s="750"/>
    </row>
    <row r="4" spans="1:10" ht="16.5" thickBot="1" x14ac:dyDescent="0.3">
      <c r="A4" s="744"/>
      <c r="B4" s="742"/>
      <c r="C4" s="744"/>
      <c r="D4" s="746"/>
      <c r="E4" s="748"/>
      <c r="F4" s="155"/>
      <c r="G4" s="156" t="s">
        <v>60</v>
      </c>
      <c r="H4" s="157" t="s">
        <v>61</v>
      </c>
    </row>
    <row r="5" spans="1:10" ht="15.75" thickBot="1" x14ac:dyDescent="0.3">
      <c r="A5" s="3" t="s">
        <v>62</v>
      </c>
      <c r="F5" s="152"/>
    </row>
    <row r="6" spans="1:10" ht="14.25" x14ac:dyDescent="0.2">
      <c r="A6" s="7" t="s">
        <v>1</v>
      </c>
      <c r="B6" s="158">
        <f>3+9+5+4+4+5+2</f>
        <v>32</v>
      </c>
      <c r="C6" s="159">
        <v>0</v>
      </c>
      <c r="D6" s="158">
        <v>1</v>
      </c>
      <c r="E6" s="159">
        <v>0</v>
      </c>
      <c r="F6" s="160">
        <v>0</v>
      </c>
      <c r="G6" s="161">
        <v>0</v>
      </c>
      <c r="H6" s="162">
        <v>0</v>
      </c>
    </row>
    <row r="7" spans="1:10" ht="14.25" x14ac:dyDescent="0.2">
      <c r="A7" s="8" t="s">
        <v>2</v>
      </c>
      <c r="B7" s="163">
        <f>37+49+37+17+23+30+7</f>
        <v>200</v>
      </c>
      <c r="C7" s="164">
        <v>1</v>
      </c>
      <c r="D7" s="163">
        <v>0</v>
      </c>
      <c r="E7" s="164">
        <v>0</v>
      </c>
      <c r="F7" s="163">
        <v>1</v>
      </c>
      <c r="G7" s="165">
        <v>0</v>
      </c>
      <c r="H7" s="166">
        <v>4</v>
      </c>
    </row>
    <row r="8" spans="1:10" ht="14.25" x14ac:dyDescent="0.2">
      <c r="A8" s="8" t="s">
        <v>14</v>
      </c>
      <c r="B8" s="163">
        <f>22+14+6+4</f>
        <v>46</v>
      </c>
      <c r="C8" s="164">
        <v>0</v>
      </c>
      <c r="D8" s="163">
        <v>0</v>
      </c>
      <c r="E8" s="164">
        <v>0</v>
      </c>
      <c r="F8" s="163">
        <v>0</v>
      </c>
      <c r="G8" s="165">
        <v>0</v>
      </c>
      <c r="H8" s="167">
        <v>1</v>
      </c>
    </row>
    <row r="9" spans="1:10" ht="14.25" x14ac:dyDescent="0.2">
      <c r="A9" s="9" t="s">
        <v>3</v>
      </c>
      <c r="B9" s="168">
        <f>39+9+6+3+3+10+1</f>
        <v>71</v>
      </c>
      <c r="C9" s="169">
        <v>0</v>
      </c>
      <c r="D9" s="168">
        <v>0</v>
      </c>
      <c r="E9" s="169">
        <v>0</v>
      </c>
      <c r="F9" s="168">
        <v>0</v>
      </c>
      <c r="G9" s="170">
        <v>0</v>
      </c>
      <c r="H9" s="171">
        <v>1</v>
      </c>
    </row>
    <row r="10" spans="1:10" ht="29.45" customHeight="1" thickBot="1" x14ac:dyDescent="0.25">
      <c r="A10" s="172" t="s">
        <v>23</v>
      </c>
      <c r="B10" s="173">
        <f>35+148+19+7+26+55+3</f>
        <v>293</v>
      </c>
      <c r="C10" s="174">
        <v>1</v>
      </c>
      <c r="D10" s="173">
        <f>2+2</f>
        <v>4</v>
      </c>
      <c r="E10" s="174">
        <v>0</v>
      </c>
      <c r="F10" s="173">
        <v>1</v>
      </c>
      <c r="G10" s="175">
        <v>0</v>
      </c>
      <c r="H10" s="176">
        <v>6</v>
      </c>
    </row>
    <row r="11" spans="1:10" ht="15" thickBot="1" x14ac:dyDescent="0.25">
      <c r="A11" s="10" t="s">
        <v>21</v>
      </c>
      <c r="B11" s="202">
        <f t="shared" ref="B11:H11" si="0">SUM(B6:B10)</f>
        <v>642</v>
      </c>
      <c r="C11" s="201">
        <f t="shared" si="0"/>
        <v>2</v>
      </c>
      <c r="D11" s="202">
        <f t="shared" si="0"/>
        <v>5</v>
      </c>
      <c r="E11" s="201">
        <f t="shared" si="0"/>
        <v>0</v>
      </c>
      <c r="F11" s="202">
        <f t="shared" si="0"/>
        <v>2</v>
      </c>
      <c r="G11" s="203">
        <f t="shared" si="0"/>
        <v>0</v>
      </c>
      <c r="H11" s="204">
        <f t="shared" si="0"/>
        <v>12</v>
      </c>
    </row>
    <row r="12" spans="1:10" ht="14.25" x14ac:dyDescent="0.2">
      <c r="A12" s="4"/>
      <c r="B12" s="2"/>
      <c r="C12" s="2"/>
      <c r="D12" s="2"/>
      <c r="E12" s="2"/>
      <c r="F12" s="161"/>
      <c r="G12" s="2"/>
      <c r="H12" s="180"/>
    </row>
    <row r="13" spans="1:10" ht="15.75" thickBot="1" x14ac:dyDescent="0.3">
      <c r="A13" s="3" t="s">
        <v>63</v>
      </c>
      <c r="F13" s="181"/>
      <c r="H13" s="207"/>
    </row>
    <row r="14" spans="1:10" ht="14.25" x14ac:dyDescent="0.2">
      <c r="A14" s="7" t="s">
        <v>4</v>
      </c>
      <c r="B14" s="158">
        <f>2+1+1</f>
        <v>4</v>
      </c>
      <c r="C14" s="159">
        <v>0</v>
      </c>
      <c r="D14" s="158">
        <v>0</v>
      </c>
      <c r="E14" s="159">
        <v>0</v>
      </c>
      <c r="F14" s="158">
        <v>0</v>
      </c>
      <c r="G14" s="182">
        <v>0</v>
      </c>
      <c r="H14" s="183">
        <v>0</v>
      </c>
    </row>
    <row r="15" spans="1:10" ht="14.25" x14ac:dyDescent="0.2">
      <c r="A15" s="11" t="s">
        <v>5</v>
      </c>
      <c r="B15" s="163">
        <f>14+8+8+3+1</f>
        <v>34</v>
      </c>
      <c r="C15" s="164">
        <v>0</v>
      </c>
      <c r="D15" s="163">
        <v>0</v>
      </c>
      <c r="E15" s="164">
        <v>0</v>
      </c>
      <c r="F15" s="163">
        <v>0</v>
      </c>
      <c r="G15" s="165">
        <v>0</v>
      </c>
      <c r="H15" s="166">
        <v>1</v>
      </c>
    </row>
    <row r="16" spans="1:10" ht="14.25" x14ac:dyDescent="0.2">
      <c r="A16" s="11" t="s">
        <v>6</v>
      </c>
      <c r="B16" s="163">
        <f>19+2+3+1+2</f>
        <v>27</v>
      </c>
      <c r="C16" s="164">
        <v>0</v>
      </c>
      <c r="D16" s="163">
        <v>0</v>
      </c>
      <c r="E16" s="164">
        <v>0</v>
      </c>
      <c r="F16" s="163">
        <v>0</v>
      </c>
      <c r="G16" s="165">
        <v>0</v>
      </c>
      <c r="H16" s="167">
        <v>0</v>
      </c>
      <c r="J16" t="s">
        <v>71</v>
      </c>
    </row>
    <row r="17" spans="1:8" ht="14.25" x14ac:dyDescent="0.2">
      <c r="A17" s="11" t="s">
        <v>7</v>
      </c>
      <c r="B17" s="163">
        <f>0+3+0+3+5+0+8</f>
        <v>19</v>
      </c>
      <c r="C17" s="164">
        <v>0</v>
      </c>
      <c r="D17" s="163">
        <v>0</v>
      </c>
      <c r="E17" s="164">
        <v>0</v>
      </c>
      <c r="F17" s="163">
        <v>0</v>
      </c>
      <c r="G17" s="165">
        <v>0</v>
      </c>
      <c r="H17" s="167">
        <v>0</v>
      </c>
    </row>
    <row r="18" spans="1:8" ht="14.25" x14ac:dyDescent="0.2">
      <c r="A18" s="11" t="s">
        <v>8</v>
      </c>
      <c r="B18" s="163">
        <v>1</v>
      </c>
      <c r="C18" s="164">
        <v>0</v>
      </c>
      <c r="D18" s="163">
        <v>0</v>
      </c>
      <c r="E18" s="164">
        <v>0</v>
      </c>
      <c r="F18" s="163">
        <v>0</v>
      </c>
      <c r="G18" s="165">
        <v>0</v>
      </c>
      <c r="H18" s="167">
        <v>0</v>
      </c>
    </row>
    <row r="19" spans="1:8" ht="14.25" x14ac:dyDescent="0.2">
      <c r="A19" s="11" t="s">
        <v>9</v>
      </c>
      <c r="B19" s="163">
        <f>9+1</f>
        <v>10</v>
      </c>
      <c r="C19" s="164">
        <v>0</v>
      </c>
      <c r="D19" s="163">
        <v>0</v>
      </c>
      <c r="E19" s="164">
        <v>0</v>
      </c>
      <c r="F19" s="163">
        <v>0</v>
      </c>
      <c r="G19" s="165">
        <v>0</v>
      </c>
      <c r="H19" s="167">
        <v>0</v>
      </c>
    </row>
    <row r="20" spans="1:8" ht="14.25" x14ac:dyDescent="0.2">
      <c r="A20" s="11" t="s">
        <v>10</v>
      </c>
      <c r="B20" s="163">
        <f>4+1+1</f>
        <v>6</v>
      </c>
      <c r="C20" s="164">
        <v>0</v>
      </c>
      <c r="D20" s="163">
        <v>0</v>
      </c>
      <c r="E20" s="164">
        <v>0</v>
      </c>
      <c r="F20" s="163">
        <v>0</v>
      </c>
      <c r="G20" s="165">
        <v>0</v>
      </c>
      <c r="H20" s="167">
        <v>0</v>
      </c>
    </row>
    <row r="21" spans="1:8" ht="14.25" x14ac:dyDescent="0.2">
      <c r="A21" s="11" t="s">
        <v>11</v>
      </c>
      <c r="B21" s="163">
        <f>1+1+2</f>
        <v>4</v>
      </c>
      <c r="C21" s="164">
        <v>0</v>
      </c>
      <c r="D21" s="163">
        <v>0</v>
      </c>
      <c r="E21" s="164">
        <v>0</v>
      </c>
      <c r="F21" s="163">
        <v>0</v>
      </c>
      <c r="G21" s="165">
        <v>0</v>
      </c>
      <c r="H21" s="167">
        <v>0</v>
      </c>
    </row>
    <row r="22" spans="1:8" ht="14.25" x14ac:dyDescent="0.2">
      <c r="A22" s="11" t="s">
        <v>12</v>
      </c>
      <c r="B22" s="163">
        <f>70+124+88+82+86+66+24</f>
        <v>540</v>
      </c>
      <c r="C22" s="164">
        <v>0</v>
      </c>
      <c r="D22" s="163">
        <f>1+1+1</f>
        <v>3</v>
      </c>
      <c r="E22" s="164">
        <v>1</v>
      </c>
      <c r="F22" s="163">
        <v>1</v>
      </c>
      <c r="G22" s="165">
        <v>0</v>
      </c>
      <c r="H22" s="166">
        <v>2</v>
      </c>
    </row>
    <row r="23" spans="1:8" ht="14.25" x14ac:dyDescent="0.2">
      <c r="A23" s="12" t="s">
        <v>13</v>
      </c>
      <c r="B23" s="168">
        <v>2</v>
      </c>
      <c r="C23" s="169">
        <v>0</v>
      </c>
      <c r="D23" s="168">
        <v>0</v>
      </c>
      <c r="E23" s="169">
        <v>0</v>
      </c>
      <c r="F23" s="168">
        <v>0</v>
      </c>
      <c r="G23" s="170">
        <v>0</v>
      </c>
      <c r="H23" s="184">
        <v>0</v>
      </c>
    </row>
    <row r="24" spans="1:8" ht="27" customHeight="1" thickBot="1" x14ac:dyDescent="0.25">
      <c r="A24" s="172" t="s">
        <v>23</v>
      </c>
      <c r="B24" s="173">
        <f>42+27+17+25+32+5</f>
        <v>148</v>
      </c>
      <c r="C24" s="174">
        <v>0</v>
      </c>
      <c r="D24" s="173">
        <v>0</v>
      </c>
      <c r="E24" s="174">
        <v>0</v>
      </c>
      <c r="F24" s="173">
        <v>0</v>
      </c>
      <c r="G24" s="175">
        <v>0</v>
      </c>
      <c r="H24" s="185">
        <v>0</v>
      </c>
    </row>
    <row r="25" spans="1:8" ht="15" thickBot="1" x14ac:dyDescent="0.25">
      <c r="A25" s="13" t="s">
        <v>22</v>
      </c>
      <c r="B25" s="202">
        <f t="shared" ref="B25:H25" si="1">SUM(B14:B24)</f>
        <v>795</v>
      </c>
      <c r="C25" s="205">
        <f t="shared" si="1"/>
        <v>0</v>
      </c>
      <c r="D25" s="206">
        <f t="shared" si="1"/>
        <v>3</v>
      </c>
      <c r="E25" s="201">
        <f t="shared" si="1"/>
        <v>1</v>
      </c>
      <c r="F25" s="202">
        <f t="shared" si="1"/>
        <v>1</v>
      </c>
      <c r="G25" s="203">
        <f t="shared" si="1"/>
        <v>0</v>
      </c>
      <c r="H25" s="206">
        <f t="shared" si="1"/>
        <v>3</v>
      </c>
    </row>
    <row r="26" spans="1:8" ht="14.25" x14ac:dyDescent="0.2">
      <c r="A26" s="5"/>
      <c r="B26" s="2"/>
      <c r="C26" s="2"/>
      <c r="D26" s="2"/>
      <c r="E26" s="2"/>
      <c r="F26" s="161"/>
      <c r="G26" s="2"/>
      <c r="H26" s="2"/>
    </row>
    <row r="27" spans="1:8" ht="15.75" thickBot="1" x14ac:dyDescent="0.3">
      <c r="A27" s="6" t="s">
        <v>64</v>
      </c>
      <c r="B27" s="2"/>
      <c r="C27" s="2"/>
      <c r="D27" s="2"/>
      <c r="E27" s="2"/>
      <c r="F27" s="181"/>
      <c r="G27" s="2"/>
      <c r="H27" s="2"/>
    </row>
    <row r="28" spans="1:8" ht="14.25" x14ac:dyDescent="0.2">
      <c r="A28" s="7" t="s">
        <v>15</v>
      </c>
      <c r="B28" s="158">
        <f>244+382+447+303+349+126+151</f>
        <v>2002</v>
      </c>
      <c r="C28" s="159">
        <v>2</v>
      </c>
      <c r="D28" s="158">
        <f>1+1</f>
        <v>2</v>
      </c>
      <c r="E28" s="159">
        <v>0</v>
      </c>
      <c r="F28" s="158">
        <v>0</v>
      </c>
      <c r="G28" s="182">
        <v>1</v>
      </c>
      <c r="H28" s="183">
        <v>4</v>
      </c>
    </row>
    <row r="29" spans="1:8" ht="14.25" x14ac:dyDescent="0.2">
      <c r="A29" s="11" t="s">
        <v>16</v>
      </c>
      <c r="B29" s="163">
        <f>149+112+183+110+137+89+55</f>
        <v>835</v>
      </c>
      <c r="C29" s="164">
        <f>1+1</f>
        <v>2</v>
      </c>
      <c r="D29" s="163">
        <v>0</v>
      </c>
      <c r="E29" s="164">
        <v>1</v>
      </c>
      <c r="F29" s="163">
        <v>1</v>
      </c>
      <c r="G29" s="165">
        <v>1</v>
      </c>
      <c r="H29" s="167">
        <v>5</v>
      </c>
    </row>
    <row r="30" spans="1:8" ht="14.25" x14ac:dyDescent="0.2">
      <c r="A30" s="11" t="s">
        <v>35</v>
      </c>
      <c r="B30" s="163">
        <f>150+59+107+88+171+30+83</f>
        <v>688</v>
      </c>
      <c r="C30" s="164">
        <v>0</v>
      </c>
      <c r="D30" s="163">
        <f>1+5</f>
        <v>6</v>
      </c>
      <c r="E30" s="164">
        <v>1</v>
      </c>
      <c r="F30" s="163">
        <v>0</v>
      </c>
      <c r="G30" s="165">
        <v>0</v>
      </c>
      <c r="H30" s="167">
        <v>2</v>
      </c>
    </row>
    <row r="31" spans="1:8" ht="14.25" x14ac:dyDescent="0.2">
      <c r="A31" s="11" t="s">
        <v>17</v>
      </c>
      <c r="B31" s="163">
        <f>837+558+755+539+695+428+321</f>
        <v>4133</v>
      </c>
      <c r="C31" s="164">
        <v>1</v>
      </c>
      <c r="D31" s="163">
        <v>1</v>
      </c>
      <c r="E31" s="164">
        <v>1</v>
      </c>
      <c r="F31" s="163">
        <f>4+1</f>
        <v>5</v>
      </c>
      <c r="G31" s="165">
        <v>0</v>
      </c>
      <c r="H31" s="167">
        <f>5+2+2</f>
        <v>9</v>
      </c>
    </row>
    <row r="32" spans="1:8" ht="14.25" x14ac:dyDescent="0.2">
      <c r="A32" s="11" t="s">
        <v>18</v>
      </c>
      <c r="B32" s="163">
        <f>244+152+264+252+352+73+148</f>
        <v>1485</v>
      </c>
      <c r="C32" s="164">
        <f>2+2</f>
        <v>4</v>
      </c>
      <c r="D32" s="163">
        <v>2</v>
      </c>
      <c r="E32" s="164">
        <v>0</v>
      </c>
      <c r="F32" s="163">
        <f>2+1</f>
        <v>3</v>
      </c>
      <c r="G32" s="165">
        <v>0</v>
      </c>
      <c r="H32" s="167">
        <v>3</v>
      </c>
    </row>
    <row r="33" spans="1:8" ht="14.25" x14ac:dyDescent="0.2">
      <c r="A33" s="11" t="s">
        <v>19</v>
      </c>
      <c r="B33" s="163">
        <f>1137+771+1243+836+889+746+400</f>
        <v>6022</v>
      </c>
      <c r="C33" s="164">
        <v>9</v>
      </c>
      <c r="D33" s="163">
        <v>20</v>
      </c>
      <c r="E33" s="164">
        <v>3</v>
      </c>
      <c r="F33" s="163">
        <f>6+2</f>
        <v>8</v>
      </c>
      <c r="G33" s="165">
        <v>2</v>
      </c>
      <c r="H33" s="167">
        <f>26+3+14+4</f>
        <v>47</v>
      </c>
    </row>
    <row r="34" spans="1:8" ht="14.25" x14ac:dyDescent="0.2">
      <c r="A34" s="11" t="s">
        <v>20</v>
      </c>
      <c r="B34" s="163">
        <f>693+563+1104+462+581+633+262</f>
        <v>4298</v>
      </c>
      <c r="C34" s="164">
        <v>3</v>
      </c>
      <c r="D34" s="163">
        <v>7</v>
      </c>
      <c r="E34" s="164">
        <v>2</v>
      </c>
      <c r="F34" s="163">
        <f>3+1</f>
        <v>4</v>
      </c>
      <c r="G34" s="165">
        <v>1</v>
      </c>
      <c r="H34" s="167">
        <f>6+1+3</f>
        <v>10</v>
      </c>
    </row>
    <row r="35" spans="1:8" ht="14.25" x14ac:dyDescent="0.2">
      <c r="A35" s="11" t="s">
        <v>25</v>
      </c>
      <c r="B35" s="163">
        <f>16+1+11+3+4</f>
        <v>35</v>
      </c>
      <c r="C35" s="164">
        <v>0</v>
      </c>
      <c r="D35" s="163">
        <v>1</v>
      </c>
      <c r="E35" s="164">
        <v>0</v>
      </c>
      <c r="F35" s="163">
        <v>0</v>
      </c>
      <c r="G35" s="165">
        <v>0</v>
      </c>
      <c r="H35" s="167">
        <v>0</v>
      </c>
    </row>
    <row r="36" spans="1:8" ht="15" thickBot="1" x14ac:dyDescent="0.25">
      <c r="A36" s="12" t="s">
        <v>26</v>
      </c>
      <c r="B36" s="192">
        <f>8665+5769+7605+6109+8742+4257+3147</f>
        <v>44294</v>
      </c>
      <c r="C36" s="169">
        <f>20+5+15+16+5</f>
        <v>61</v>
      </c>
      <c r="D36" s="168">
        <f>18+7+13+9+23+9</f>
        <v>79</v>
      </c>
      <c r="E36" s="169">
        <f>3+2+16+2</f>
        <v>23</v>
      </c>
      <c r="F36" s="168">
        <f>22+1+11+8+3</f>
        <v>45</v>
      </c>
      <c r="G36" s="170">
        <v>8</v>
      </c>
      <c r="H36" s="184">
        <f>40+34+41+9+57+12</f>
        <v>193</v>
      </c>
    </row>
    <row r="37" spans="1:8" ht="15" thickBot="1" x14ac:dyDescent="0.25">
      <c r="A37" s="13" t="s">
        <v>21</v>
      </c>
      <c r="B37" s="208">
        <f t="shared" ref="B37:H37" si="2">SUM(B28:B36)</f>
        <v>63792</v>
      </c>
      <c r="C37" s="201">
        <f t="shared" si="2"/>
        <v>82</v>
      </c>
      <c r="D37" s="202">
        <f t="shared" si="2"/>
        <v>118</v>
      </c>
      <c r="E37" s="201">
        <f t="shared" si="2"/>
        <v>31</v>
      </c>
      <c r="F37" s="202">
        <f t="shared" si="2"/>
        <v>66</v>
      </c>
      <c r="G37" s="203">
        <f t="shared" si="2"/>
        <v>13</v>
      </c>
      <c r="H37" s="209">
        <f t="shared" si="2"/>
        <v>273</v>
      </c>
    </row>
    <row r="38" spans="1:8" ht="14.25" x14ac:dyDescent="0.2">
      <c r="A38" s="14"/>
      <c r="B38" s="161"/>
      <c r="C38" s="161"/>
      <c r="D38" s="161"/>
      <c r="E38" s="161"/>
      <c r="F38" s="161"/>
      <c r="G38" s="161"/>
      <c r="H38" s="161"/>
    </row>
    <row r="39" spans="1:8" ht="15.75" thickBot="1" x14ac:dyDescent="0.3">
      <c r="A39" s="15" t="s">
        <v>28</v>
      </c>
      <c r="B39" s="181"/>
      <c r="C39" s="181"/>
      <c r="D39" s="181"/>
      <c r="E39" s="181"/>
      <c r="F39" s="181"/>
      <c r="G39" s="181"/>
      <c r="H39" s="181"/>
    </row>
    <row r="40" spans="1:8" ht="14.25" x14ac:dyDescent="0.2">
      <c r="A40" s="7" t="s">
        <v>65</v>
      </c>
      <c r="B40" s="158">
        <f>16+8+15+16+11+17+16</f>
        <v>99</v>
      </c>
      <c r="C40" s="159">
        <v>0</v>
      </c>
      <c r="D40" s="158">
        <v>0</v>
      </c>
      <c r="E40" s="159">
        <v>0</v>
      </c>
      <c r="F40" s="158">
        <v>0</v>
      </c>
      <c r="G40" s="182">
        <v>0</v>
      </c>
      <c r="H40" s="183">
        <v>0</v>
      </c>
    </row>
    <row r="41" spans="1:8" ht="15" thickBot="1" x14ac:dyDescent="0.25">
      <c r="A41" s="12" t="s">
        <v>27</v>
      </c>
      <c r="B41" s="192">
        <f>11197+3978+5189+8052+6795+5798+4998</f>
        <v>46007</v>
      </c>
      <c r="C41" s="169">
        <v>14</v>
      </c>
      <c r="D41" s="168">
        <f>7+3+1</f>
        <v>11</v>
      </c>
      <c r="E41" s="169">
        <v>1</v>
      </c>
      <c r="F41" s="168">
        <f>1+1</f>
        <v>2</v>
      </c>
      <c r="G41" s="170">
        <v>3</v>
      </c>
      <c r="H41" s="184">
        <v>11</v>
      </c>
    </row>
    <row r="42" spans="1:8" ht="15" thickBot="1" x14ac:dyDescent="0.25">
      <c r="A42" s="13" t="s">
        <v>21</v>
      </c>
      <c r="B42" s="208">
        <f t="shared" ref="B42:H42" si="3">SUM(B40:B41)</f>
        <v>46106</v>
      </c>
      <c r="C42" s="201">
        <f t="shared" si="3"/>
        <v>14</v>
      </c>
      <c r="D42" s="202">
        <f t="shared" si="3"/>
        <v>11</v>
      </c>
      <c r="E42" s="201">
        <f t="shared" si="3"/>
        <v>1</v>
      </c>
      <c r="F42" s="202">
        <f t="shared" si="3"/>
        <v>2</v>
      </c>
      <c r="G42" s="203">
        <f t="shared" si="3"/>
        <v>3</v>
      </c>
      <c r="H42" s="206">
        <f t="shared" si="3"/>
        <v>11</v>
      </c>
    </row>
  </sheetData>
  <mergeCells count="8">
    <mergeCell ref="A1:F1"/>
    <mergeCell ref="G1:H1"/>
    <mergeCell ref="A3:A4"/>
    <mergeCell ref="B3:B4"/>
    <mergeCell ref="C3:C4"/>
    <mergeCell ref="D3:D4"/>
    <mergeCell ref="E3:E4"/>
    <mergeCell ref="G3:H3"/>
  </mergeCells>
  <pageMargins left="0.39370078740157483" right="0.39370078740157483" top="0.19685039370078741" bottom="0.19685039370078741" header="0.51181102362204722" footer="0.51181102362204722"/>
  <pageSetup paperSize="9" scale="77" orientation="landscape" horizontalDpi="4294967294" verticalDpi="4294967294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H42"/>
  <sheetViews>
    <sheetView zoomScaleNormal="100" workbookViewId="0">
      <selection activeCell="D36" sqref="D36"/>
    </sheetView>
  </sheetViews>
  <sheetFormatPr baseColWidth="10" defaultRowHeight="12.75" x14ac:dyDescent="0.2"/>
  <cols>
    <col min="1" max="1" width="26" bestFit="1" customWidth="1"/>
    <col min="2" max="2" width="17" customWidth="1"/>
    <col min="3" max="3" width="23.140625" customWidth="1"/>
    <col min="4" max="4" width="21.42578125" customWidth="1"/>
    <col min="5" max="5" width="16.42578125" customWidth="1"/>
    <col min="6" max="6" width="18.5703125" customWidth="1"/>
    <col min="7" max="7" width="18.42578125" customWidth="1"/>
    <col min="8" max="8" width="20.42578125" customWidth="1"/>
  </cols>
  <sheetData>
    <row r="1" spans="1:8" s="1" customFormat="1" ht="35.1" customHeight="1" x14ac:dyDescent="0.25">
      <c r="A1" s="730" t="s">
        <v>67</v>
      </c>
      <c r="B1" s="730"/>
      <c r="C1" s="730"/>
      <c r="D1" s="730"/>
      <c r="E1" s="730"/>
      <c r="F1" s="730"/>
      <c r="G1" s="730"/>
      <c r="H1" s="196" t="s">
        <v>68</v>
      </c>
    </row>
    <row r="2" spans="1:8" ht="2.4500000000000002" customHeight="1" thickBot="1" x14ac:dyDescent="0.25"/>
    <row r="3" spans="1:8" ht="57" customHeight="1" x14ac:dyDescent="0.2">
      <c r="A3" s="743" t="s">
        <v>24</v>
      </c>
      <c r="B3" s="741" t="s">
        <v>0</v>
      </c>
      <c r="C3" s="743" t="s">
        <v>56</v>
      </c>
      <c r="D3" s="745" t="s">
        <v>57</v>
      </c>
      <c r="E3" s="747" t="s">
        <v>58</v>
      </c>
      <c r="F3" s="154" t="s">
        <v>46</v>
      </c>
      <c r="G3" s="749" t="s">
        <v>59</v>
      </c>
      <c r="H3" s="750"/>
    </row>
    <row r="4" spans="1:8" ht="16.5" thickBot="1" x14ac:dyDescent="0.3">
      <c r="A4" s="744"/>
      <c r="B4" s="742"/>
      <c r="C4" s="744"/>
      <c r="D4" s="746"/>
      <c r="E4" s="748"/>
      <c r="F4" s="155"/>
      <c r="G4" s="156" t="s">
        <v>60</v>
      </c>
      <c r="H4" s="157" t="s">
        <v>61</v>
      </c>
    </row>
    <row r="5" spans="1:8" ht="15.75" thickBot="1" x14ac:dyDescent="0.3">
      <c r="A5" s="3" t="s">
        <v>62</v>
      </c>
      <c r="F5" s="152"/>
    </row>
    <row r="6" spans="1:8" ht="14.25" x14ac:dyDescent="0.2">
      <c r="A6" s="7" t="s">
        <v>1</v>
      </c>
      <c r="B6" s="197">
        <v>73</v>
      </c>
      <c r="C6" s="159">
        <v>0</v>
      </c>
      <c r="D6" s="158">
        <v>1</v>
      </c>
      <c r="E6" s="159">
        <v>0</v>
      </c>
      <c r="F6" s="160">
        <v>0</v>
      </c>
      <c r="G6" s="161">
        <v>0</v>
      </c>
      <c r="H6" s="162">
        <v>4</v>
      </c>
    </row>
    <row r="7" spans="1:8" ht="14.25" x14ac:dyDescent="0.2">
      <c r="A7" s="8" t="s">
        <v>2</v>
      </c>
      <c r="B7" s="198">
        <v>666</v>
      </c>
      <c r="C7" s="164">
        <v>4</v>
      </c>
      <c r="D7" s="163">
        <v>6</v>
      </c>
      <c r="E7" s="164">
        <v>1</v>
      </c>
      <c r="F7" s="163">
        <v>1</v>
      </c>
      <c r="G7" s="165">
        <v>0</v>
      </c>
      <c r="H7" s="166">
        <v>21</v>
      </c>
    </row>
    <row r="8" spans="1:8" ht="14.25" x14ac:dyDescent="0.2">
      <c r="A8" s="8" t="s">
        <v>14</v>
      </c>
      <c r="B8" s="198">
        <v>81</v>
      </c>
      <c r="C8" s="164">
        <v>0</v>
      </c>
      <c r="D8" s="163">
        <v>0</v>
      </c>
      <c r="E8" s="164">
        <v>0</v>
      </c>
      <c r="F8" s="163">
        <v>0</v>
      </c>
      <c r="G8" s="165">
        <v>0</v>
      </c>
      <c r="H8" s="167">
        <v>1</v>
      </c>
    </row>
    <row r="9" spans="1:8" ht="14.25" x14ac:dyDescent="0.2">
      <c r="A9" s="9" t="s">
        <v>3</v>
      </c>
      <c r="B9" s="198">
        <v>116</v>
      </c>
      <c r="C9" s="169">
        <v>1</v>
      </c>
      <c r="D9" s="168">
        <v>0</v>
      </c>
      <c r="E9" s="169">
        <v>0</v>
      </c>
      <c r="F9" s="168">
        <v>0</v>
      </c>
      <c r="G9" s="170">
        <v>0</v>
      </c>
      <c r="H9" s="171">
        <v>2</v>
      </c>
    </row>
    <row r="10" spans="1:8" ht="29.45" customHeight="1" thickBot="1" x14ac:dyDescent="0.25">
      <c r="A10" s="172" t="s">
        <v>23</v>
      </c>
      <c r="B10" s="199">
        <v>772</v>
      </c>
      <c r="C10" s="174">
        <v>3</v>
      </c>
      <c r="D10" s="173">
        <v>3</v>
      </c>
      <c r="E10" s="174">
        <v>0</v>
      </c>
      <c r="F10" s="173">
        <v>0</v>
      </c>
      <c r="G10" s="175">
        <v>1</v>
      </c>
      <c r="H10" s="176">
        <v>18</v>
      </c>
    </row>
    <row r="11" spans="1:8" ht="15.75" thickBot="1" x14ac:dyDescent="0.3">
      <c r="A11" s="10" t="s">
        <v>21</v>
      </c>
      <c r="B11" s="200">
        <v>1708</v>
      </c>
      <c r="C11" s="201">
        <v>8</v>
      </c>
      <c r="D11" s="202">
        <v>10</v>
      </c>
      <c r="E11" s="201">
        <v>1</v>
      </c>
      <c r="F11" s="202">
        <v>1</v>
      </c>
      <c r="G11" s="203">
        <v>1</v>
      </c>
      <c r="H11" s="204">
        <v>46</v>
      </c>
    </row>
    <row r="12" spans="1:8" ht="14.25" x14ac:dyDescent="0.2">
      <c r="A12" s="4"/>
      <c r="B12" s="2"/>
      <c r="C12" s="2"/>
      <c r="D12" s="2"/>
      <c r="E12" s="2"/>
      <c r="F12" s="161"/>
      <c r="G12" s="2"/>
      <c r="H12" s="180"/>
    </row>
    <row r="13" spans="1:8" ht="15.75" thickBot="1" x14ac:dyDescent="0.3">
      <c r="A13" s="3" t="s">
        <v>63</v>
      </c>
      <c r="F13" s="181"/>
    </row>
    <row r="14" spans="1:8" ht="14.25" x14ac:dyDescent="0.2">
      <c r="A14" s="7" t="s">
        <v>4</v>
      </c>
      <c r="B14" s="158">
        <v>30</v>
      </c>
      <c r="C14" s="159">
        <v>0</v>
      </c>
      <c r="D14" s="158">
        <v>0</v>
      </c>
      <c r="E14" s="159">
        <v>0</v>
      </c>
      <c r="F14" s="158">
        <v>0</v>
      </c>
      <c r="G14" s="182">
        <v>0</v>
      </c>
      <c r="H14" s="183">
        <v>3</v>
      </c>
    </row>
    <row r="15" spans="1:8" ht="14.25" x14ac:dyDescent="0.2">
      <c r="A15" s="11" t="s">
        <v>5</v>
      </c>
      <c r="B15" s="163">
        <v>176</v>
      </c>
      <c r="C15" s="164">
        <v>0</v>
      </c>
      <c r="D15" s="163">
        <v>4</v>
      </c>
      <c r="E15" s="164">
        <v>0</v>
      </c>
      <c r="F15" s="163">
        <v>1</v>
      </c>
      <c r="G15" s="165">
        <v>0</v>
      </c>
      <c r="H15" s="166">
        <v>6</v>
      </c>
    </row>
    <row r="16" spans="1:8" ht="14.25" x14ac:dyDescent="0.2">
      <c r="A16" s="11" t="s">
        <v>6</v>
      </c>
      <c r="B16" s="163">
        <v>49</v>
      </c>
      <c r="C16" s="164">
        <v>0</v>
      </c>
      <c r="D16" s="163">
        <v>1</v>
      </c>
      <c r="E16" s="164">
        <v>0</v>
      </c>
      <c r="F16" s="163">
        <v>0</v>
      </c>
      <c r="G16" s="165">
        <v>0</v>
      </c>
      <c r="H16" s="167">
        <v>1</v>
      </c>
    </row>
    <row r="17" spans="1:8" ht="14.25" x14ac:dyDescent="0.2">
      <c r="A17" s="11" t="s">
        <v>7</v>
      </c>
      <c r="B17" s="163">
        <v>37</v>
      </c>
      <c r="C17" s="164">
        <v>0</v>
      </c>
      <c r="D17" s="163">
        <v>0</v>
      </c>
      <c r="E17" s="164">
        <v>0</v>
      </c>
      <c r="F17" s="163">
        <v>0</v>
      </c>
      <c r="G17" s="165">
        <v>0</v>
      </c>
      <c r="H17" s="167">
        <v>2</v>
      </c>
    </row>
    <row r="18" spans="1:8" ht="14.25" x14ac:dyDescent="0.2">
      <c r="A18" s="11" t="s">
        <v>8</v>
      </c>
      <c r="B18" s="163">
        <v>5</v>
      </c>
      <c r="C18" s="164">
        <v>0</v>
      </c>
      <c r="D18" s="163">
        <v>0</v>
      </c>
      <c r="E18" s="164">
        <v>0</v>
      </c>
      <c r="F18" s="163">
        <v>0</v>
      </c>
      <c r="G18" s="165">
        <v>0</v>
      </c>
      <c r="H18" s="167">
        <v>0</v>
      </c>
    </row>
    <row r="19" spans="1:8" ht="14.25" x14ac:dyDescent="0.2">
      <c r="A19" s="11" t="s">
        <v>9</v>
      </c>
      <c r="B19" s="163">
        <v>14</v>
      </c>
      <c r="C19" s="164">
        <v>1</v>
      </c>
      <c r="D19" s="163">
        <v>0</v>
      </c>
      <c r="E19" s="164">
        <v>0</v>
      </c>
      <c r="F19" s="163">
        <v>0</v>
      </c>
      <c r="G19" s="165">
        <v>0</v>
      </c>
      <c r="H19" s="167">
        <v>0</v>
      </c>
    </row>
    <row r="20" spans="1:8" ht="14.25" x14ac:dyDescent="0.2">
      <c r="A20" s="11" t="s">
        <v>10</v>
      </c>
      <c r="B20" s="163">
        <v>11</v>
      </c>
      <c r="C20" s="164">
        <v>0</v>
      </c>
      <c r="D20" s="163">
        <v>0</v>
      </c>
      <c r="E20" s="164">
        <v>0</v>
      </c>
      <c r="F20" s="163">
        <v>0</v>
      </c>
      <c r="G20" s="165">
        <v>0</v>
      </c>
      <c r="H20" s="167">
        <v>1</v>
      </c>
    </row>
    <row r="21" spans="1:8" ht="14.25" x14ac:dyDescent="0.2">
      <c r="A21" s="11" t="s">
        <v>11</v>
      </c>
      <c r="B21" s="163">
        <v>63</v>
      </c>
      <c r="C21" s="164">
        <v>2</v>
      </c>
      <c r="D21" s="163">
        <v>3</v>
      </c>
      <c r="E21" s="164">
        <v>0</v>
      </c>
      <c r="F21" s="163">
        <v>0</v>
      </c>
      <c r="G21" s="165">
        <v>0</v>
      </c>
      <c r="H21" s="167">
        <v>16</v>
      </c>
    </row>
    <row r="22" spans="1:8" ht="14.25" x14ac:dyDescent="0.2">
      <c r="A22" s="11" t="s">
        <v>12</v>
      </c>
      <c r="B22" s="163">
        <v>1488</v>
      </c>
      <c r="C22" s="164">
        <v>4</v>
      </c>
      <c r="D22" s="163">
        <v>5</v>
      </c>
      <c r="E22" s="164">
        <v>2</v>
      </c>
      <c r="F22" s="163">
        <v>1</v>
      </c>
      <c r="G22" s="165">
        <v>0</v>
      </c>
      <c r="H22" s="166">
        <v>48</v>
      </c>
    </row>
    <row r="23" spans="1:8" ht="14.25" x14ac:dyDescent="0.2">
      <c r="A23" s="12" t="s">
        <v>13</v>
      </c>
      <c r="B23" s="168">
        <v>17</v>
      </c>
      <c r="C23" s="169">
        <v>0</v>
      </c>
      <c r="D23" s="168">
        <v>0</v>
      </c>
      <c r="E23" s="169">
        <v>0</v>
      </c>
      <c r="F23" s="168">
        <v>0</v>
      </c>
      <c r="G23" s="170">
        <v>0</v>
      </c>
      <c r="H23" s="184">
        <v>0</v>
      </c>
    </row>
    <row r="24" spans="1:8" ht="27" customHeight="1" thickBot="1" x14ac:dyDescent="0.25">
      <c r="A24" s="172" t="s">
        <v>23</v>
      </c>
      <c r="B24" s="173">
        <v>496</v>
      </c>
      <c r="C24" s="174">
        <v>1</v>
      </c>
      <c r="D24" s="173">
        <v>0</v>
      </c>
      <c r="E24" s="174">
        <v>1</v>
      </c>
      <c r="F24" s="173">
        <v>0</v>
      </c>
      <c r="G24" s="175">
        <v>0</v>
      </c>
      <c r="H24" s="185">
        <v>2</v>
      </c>
    </row>
    <row r="25" spans="1:8" ht="15" thickBot="1" x14ac:dyDescent="0.25">
      <c r="A25" s="13" t="s">
        <v>22</v>
      </c>
      <c r="B25" s="202">
        <v>2386</v>
      </c>
      <c r="C25" s="205">
        <v>8</v>
      </c>
      <c r="D25" s="206">
        <f>SUM(D14:D24)</f>
        <v>13</v>
      </c>
      <c r="E25" s="201">
        <v>3</v>
      </c>
      <c r="F25" s="202">
        <v>2</v>
      </c>
      <c r="G25" s="203">
        <v>0</v>
      </c>
      <c r="H25" s="206">
        <v>79</v>
      </c>
    </row>
    <row r="26" spans="1:8" ht="14.25" x14ac:dyDescent="0.2">
      <c r="A26" s="5"/>
      <c r="B26" s="2"/>
      <c r="C26" s="2"/>
      <c r="D26" s="2"/>
      <c r="E26" s="2"/>
      <c r="F26" s="161"/>
      <c r="G26" s="2"/>
      <c r="H26" s="2"/>
    </row>
    <row r="27" spans="1:8" ht="15.75" thickBot="1" x14ac:dyDescent="0.3">
      <c r="A27" s="6" t="s">
        <v>64</v>
      </c>
      <c r="B27" s="2"/>
      <c r="C27" s="2"/>
      <c r="D27" s="2"/>
      <c r="E27" s="2"/>
      <c r="F27" s="181"/>
      <c r="G27" s="2"/>
      <c r="H27" s="2"/>
    </row>
    <row r="28" spans="1:8" ht="14.25" x14ac:dyDescent="0.2">
      <c r="A28" s="7" t="s">
        <v>15</v>
      </c>
      <c r="B28" s="158">
        <v>2865</v>
      </c>
      <c r="C28" s="159">
        <v>3</v>
      </c>
      <c r="D28" s="158">
        <v>5</v>
      </c>
      <c r="E28" s="159">
        <v>1</v>
      </c>
      <c r="F28" s="158">
        <v>1</v>
      </c>
      <c r="G28" s="182">
        <v>0</v>
      </c>
      <c r="H28" s="183">
        <v>22</v>
      </c>
    </row>
    <row r="29" spans="1:8" ht="14.25" x14ac:dyDescent="0.2">
      <c r="A29" s="11" t="s">
        <v>16</v>
      </c>
      <c r="B29" s="163">
        <v>1449</v>
      </c>
      <c r="C29" s="164">
        <v>6</v>
      </c>
      <c r="D29" s="163">
        <v>13</v>
      </c>
      <c r="E29" s="164">
        <v>3</v>
      </c>
      <c r="F29" s="163">
        <v>3</v>
      </c>
      <c r="G29" s="165">
        <v>2</v>
      </c>
      <c r="H29" s="167">
        <v>28</v>
      </c>
    </row>
    <row r="30" spans="1:8" ht="14.25" x14ac:dyDescent="0.2">
      <c r="A30" s="11" t="s">
        <v>35</v>
      </c>
      <c r="B30" s="163">
        <v>815</v>
      </c>
      <c r="C30" s="164">
        <v>1</v>
      </c>
      <c r="D30" s="163">
        <v>8</v>
      </c>
      <c r="E30" s="164">
        <v>0</v>
      </c>
      <c r="F30" s="163">
        <v>0</v>
      </c>
      <c r="G30" s="165">
        <v>0</v>
      </c>
      <c r="H30" s="167">
        <v>6</v>
      </c>
    </row>
    <row r="31" spans="1:8" ht="14.25" x14ac:dyDescent="0.2">
      <c r="A31" s="11" t="s">
        <v>17</v>
      </c>
      <c r="B31" s="163">
        <v>7264</v>
      </c>
      <c r="C31" s="164">
        <v>2</v>
      </c>
      <c r="D31" s="163">
        <v>5</v>
      </c>
      <c r="E31" s="164">
        <v>0</v>
      </c>
      <c r="F31" s="163">
        <v>1</v>
      </c>
      <c r="G31" s="165">
        <v>0</v>
      </c>
      <c r="H31" s="167">
        <v>68</v>
      </c>
    </row>
    <row r="32" spans="1:8" ht="14.25" x14ac:dyDescent="0.2">
      <c r="A32" s="11" t="s">
        <v>18</v>
      </c>
      <c r="B32" s="163">
        <v>1413</v>
      </c>
      <c r="C32" s="164">
        <v>3</v>
      </c>
      <c r="D32" s="163">
        <v>2</v>
      </c>
      <c r="E32" s="164">
        <v>1</v>
      </c>
      <c r="F32" s="163">
        <v>1</v>
      </c>
      <c r="G32" s="165">
        <v>1</v>
      </c>
      <c r="H32" s="167">
        <v>18</v>
      </c>
    </row>
    <row r="33" spans="1:8" ht="14.25" x14ac:dyDescent="0.2">
      <c r="A33" s="11" t="s">
        <v>19</v>
      </c>
      <c r="B33" s="163">
        <v>10696</v>
      </c>
      <c r="C33" s="164">
        <v>33</v>
      </c>
      <c r="D33" s="163">
        <v>55</v>
      </c>
      <c r="E33" s="164">
        <v>17</v>
      </c>
      <c r="F33" s="163">
        <v>12</v>
      </c>
      <c r="G33" s="165">
        <v>4</v>
      </c>
      <c r="H33" s="167">
        <v>152</v>
      </c>
    </row>
    <row r="34" spans="1:8" ht="14.25" x14ac:dyDescent="0.2">
      <c r="A34" s="11" t="s">
        <v>20</v>
      </c>
      <c r="B34" s="163">
        <v>6884</v>
      </c>
      <c r="C34" s="164">
        <v>23</v>
      </c>
      <c r="D34" s="163">
        <v>21</v>
      </c>
      <c r="E34" s="164">
        <v>6</v>
      </c>
      <c r="F34" s="163">
        <v>11</v>
      </c>
      <c r="G34" s="165">
        <v>1</v>
      </c>
      <c r="H34" s="167">
        <v>104</v>
      </c>
    </row>
    <row r="35" spans="1:8" ht="14.25" x14ac:dyDescent="0.2">
      <c r="A35" s="11" t="s">
        <v>25</v>
      </c>
      <c r="B35" s="163">
        <v>50</v>
      </c>
      <c r="C35" s="164">
        <v>1</v>
      </c>
      <c r="D35" s="163">
        <v>4</v>
      </c>
      <c r="E35" s="164">
        <v>1</v>
      </c>
      <c r="F35" s="163">
        <v>0</v>
      </c>
      <c r="G35" s="165">
        <v>1</v>
      </c>
      <c r="H35" s="167">
        <v>6</v>
      </c>
    </row>
    <row r="36" spans="1:8" ht="15" thickBot="1" x14ac:dyDescent="0.25">
      <c r="A36" s="12" t="s">
        <v>26</v>
      </c>
      <c r="B36" s="168">
        <v>80184</v>
      </c>
      <c r="C36" s="169">
        <v>155</v>
      </c>
      <c r="D36" s="168">
        <v>234</v>
      </c>
      <c r="E36" s="169">
        <v>62</v>
      </c>
      <c r="F36" s="168">
        <v>57</v>
      </c>
      <c r="G36" s="170">
        <v>13</v>
      </c>
      <c r="H36" s="184">
        <v>959</v>
      </c>
    </row>
    <row r="37" spans="1:8" ht="15" thickBot="1" x14ac:dyDescent="0.25">
      <c r="A37" s="13" t="s">
        <v>21</v>
      </c>
      <c r="B37" s="202">
        <v>111620</v>
      </c>
      <c r="C37" s="201">
        <v>227</v>
      </c>
      <c r="D37" s="202">
        <v>347</v>
      </c>
      <c r="E37" s="201">
        <v>91</v>
      </c>
      <c r="F37" s="202">
        <v>86</v>
      </c>
      <c r="G37" s="203">
        <v>22</v>
      </c>
      <c r="H37" s="206">
        <v>1363</v>
      </c>
    </row>
    <row r="38" spans="1:8" ht="14.25" x14ac:dyDescent="0.2">
      <c r="A38" s="14"/>
      <c r="B38" s="161"/>
      <c r="C38" s="161"/>
      <c r="D38" s="161"/>
      <c r="E38" s="161"/>
      <c r="F38" s="161"/>
      <c r="G38" s="161"/>
      <c r="H38" s="161"/>
    </row>
    <row r="39" spans="1:8" ht="15.75" thickBot="1" x14ac:dyDescent="0.3">
      <c r="A39" s="15" t="s">
        <v>28</v>
      </c>
      <c r="B39" s="181"/>
      <c r="C39" s="181"/>
      <c r="D39" s="181"/>
      <c r="E39" s="181"/>
      <c r="F39" s="181"/>
      <c r="G39" s="181"/>
      <c r="H39" s="181"/>
    </row>
    <row r="40" spans="1:8" ht="14.25" x14ac:dyDescent="0.2">
      <c r="A40" s="7" t="s">
        <v>69</v>
      </c>
      <c r="B40" s="158">
        <v>132</v>
      </c>
      <c r="C40" s="159">
        <v>0</v>
      </c>
      <c r="D40" s="158">
        <v>1</v>
      </c>
      <c r="E40" s="159">
        <v>4</v>
      </c>
      <c r="F40" s="158">
        <v>0</v>
      </c>
      <c r="G40" s="182">
        <v>0</v>
      </c>
      <c r="H40" s="183">
        <v>0</v>
      </c>
    </row>
    <row r="41" spans="1:8" ht="15" thickBot="1" x14ac:dyDescent="0.25">
      <c r="A41" s="12" t="s">
        <v>27</v>
      </c>
      <c r="B41" s="168">
        <v>46991</v>
      </c>
      <c r="C41" s="169">
        <v>26</v>
      </c>
      <c r="D41" s="168">
        <v>17</v>
      </c>
      <c r="E41" s="169">
        <v>7</v>
      </c>
      <c r="F41" s="168">
        <v>3</v>
      </c>
      <c r="G41" s="170">
        <v>7</v>
      </c>
      <c r="H41" s="184">
        <v>126</v>
      </c>
    </row>
    <row r="42" spans="1:8" ht="15" thickBot="1" x14ac:dyDescent="0.25">
      <c r="A42" s="13" t="s">
        <v>21</v>
      </c>
      <c r="B42" s="202">
        <v>47123</v>
      </c>
      <c r="C42" s="201">
        <v>26</v>
      </c>
      <c r="D42" s="202">
        <v>18</v>
      </c>
      <c r="E42" s="201">
        <v>11</v>
      </c>
      <c r="F42" s="202">
        <v>3</v>
      </c>
      <c r="G42" s="203">
        <v>7</v>
      </c>
      <c r="H42" s="206">
        <v>126</v>
      </c>
    </row>
  </sheetData>
  <mergeCells count="7">
    <mergeCell ref="A1:G1"/>
    <mergeCell ref="A3:A4"/>
    <mergeCell ref="B3:B4"/>
    <mergeCell ref="C3:C4"/>
    <mergeCell ref="D3:D4"/>
    <mergeCell ref="E3:E4"/>
    <mergeCell ref="G3:H3"/>
  </mergeCells>
  <pageMargins left="0.39370078740157483" right="0.39370078740157483" top="0.19685039370078741" bottom="0.19685039370078741" header="0.51181102362204722" footer="0.51181102362204722"/>
  <pageSetup paperSize="9" scale="83" orientation="landscape" horizontalDpi="300" verticalDpi="300" r:id="rId1"/>
  <headerFooter alignWithMargins="0">
    <oddHeader>&amp;L&amp;F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>
    <pageSetUpPr fitToPage="1"/>
  </sheetPr>
  <dimension ref="A1:H42"/>
  <sheetViews>
    <sheetView topLeftCell="A10" zoomScaleNormal="100" workbookViewId="0">
      <selection activeCell="F39" sqref="F39"/>
    </sheetView>
  </sheetViews>
  <sheetFormatPr baseColWidth="10" defaultRowHeight="12.75" x14ac:dyDescent="0.2"/>
  <cols>
    <col min="1" max="1" width="26" bestFit="1" customWidth="1"/>
    <col min="2" max="2" width="17" customWidth="1"/>
    <col min="3" max="3" width="23.140625" customWidth="1"/>
    <col min="4" max="4" width="21.42578125" customWidth="1"/>
    <col min="5" max="5" width="16.42578125" customWidth="1"/>
    <col min="6" max="6" width="18.5703125" customWidth="1"/>
    <col min="7" max="7" width="18.42578125" customWidth="1"/>
    <col min="8" max="8" width="20.42578125" customWidth="1"/>
  </cols>
  <sheetData>
    <row r="1" spans="1:8" s="1" customFormat="1" ht="35.1" customHeight="1" x14ac:dyDescent="0.25">
      <c r="A1" s="730" t="s">
        <v>54</v>
      </c>
      <c r="B1" s="730"/>
      <c r="C1" s="730"/>
      <c r="D1" s="730"/>
      <c r="E1" s="730"/>
      <c r="F1" s="730"/>
      <c r="G1" s="730"/>
      <c r="H1" s="210" t="s">
        <v>73</v>
      </c>
    </row>
    <row r="2" spans="1:8" ht="2.4500000000000002" customHeight="1" thickBot="1" x14ac:dyDescent="0.25"/>
    <row r="3" spans="1:8" ht="57" customHeight="1" x14ac:dyDescent="0.2">
      <c r="A3" s="743" t="s">
        <v>24</v>
      </c>
      <c r="B3" s="741" t="s">
        <v>0</v>
      </c>
      <c r="C3" s="743" t="s">
        <v>56</v>
      </c>
      <c r="D3" s="745" t="s">
        <v>57</v>
      </c>
      <c r="E3" s="747" t="s">
        <v>58</v>
      </c>
      <c r="F3" s="154" t="s">
        <v>46</v>
      </c>
      <c r="G3" s="749" t="s">
        <v>59</v>
      </c>
      <c r="H3" s="750"/>
    </row>
    <row r="4" spans="1:8" ht="16.5" thickBot="1" x14ac:dyDescent="0.3">
      <c r="A4" s="744"/>
      <c r="B4" s="742"/>
      <c r="C4" s="744"/>
      <c r="D4" s="746"/>
      <c r="E4" s="748"/>
      <c r="F4" s="155"/>
      <c r="G4" s="156" t="s">
        <v>60</v>
      </c>
      <c r="H4" s="157" t="s">
        <v>61</v>
      </c>
    </row>
    <row r="5" spans="1:8" ht="15.75" thickBot="1" x14ac:dyDescent="0.3">
      <c r="A5" s="3" t="s">
        <v>62</v>
      </c>
      <c r="F5" s="152"/>
    </row>
    <row r="6" spans="1:8" ht="14.25" x14ac:dyDescent="0.2">
      <c r="A6" s="7" t="s">
        <v>1</v>
      </c>
      <c r="B6" s="158">
        <v>63</v>
      </c>
      <c r="C6" s="159">
        <v>0</v>
      </c>
      <c r="D6" s="158">
        <v>1</v>
      </c>
      <c r="E6" s="159">
        <v>1</v>
      </c>
      <c r="F6" s="160">
        <v>0</v>
      </c>
      <c r="G6" s="161">
        <v>0</v>
      </c>
      <c r="H6" s="162">
        <v>6</v>
      </c>
    </row>
    <row r="7" spans="1:8" ht="14.25" x14ac:dyDescent="0.2">
      <c r="A7" s="8" t="s">
        <v>2</v>
      </c>
      <c r="B7" s="163">
        <v>663</v>
      </c>
      <c r="C7" s="164">
        <v>0</v>
      </c>
      <c r="D7" s="163">
        <v>4</v>
      </c>
      <c r="E7" s="164">
        <v>0</v>
      </c>
      <c r="F7" s="163">
        <v>0</v>
      </c>
      <c r="G7" s="165">
        <v>0</v>
      </c>
      <c r="H7" s="166">
        <v>10</v>
      </c>
    </row>
    <row r="8" spans="1:8" ht="14.25" x14ac:dyDescent="0.2">
      <c r="A8" s="8" t="s">
        <v>14</v>
      </c>
      <c r="B8" s="163">
        <v>116</v>
      </c>
      <c r="C8" s="164">
        <v>0</v>
      </c>
      <c r="D8" s="163">
        <v>1</v>
      </c>
      <c r="E8" s="164">
        <v>0</v>
      </c>
      <c r="F8" s="163">
        <v>0</v>
      </c>
      <c r="G8" s="165">
        <v>0</v>
      </c>
      <c r="H8" s="167">
        <v>2</v>
      </c>
    </row>
    <row r="9" spans="1:8" ht="14.25" x14ac:dyDescent="0.2">
      <c r="A9" s="9" t="s">
        <v>3</v>
      </c>
      <c r="B9" s="168">
        <v>108</v>
      </c>
      <c r="C9" s="169">
        <v>0</v>
      </c>
      <c r="D9" s="168">
        <v>1</v>
      </c>
      <c r="E9" s="169">
        <v>0</v>
      </c>
      <c r="F9" s="168">
        <v>0</v>
      </c>
      <c r="G9" s="170">
        <v>0</v>
      </c>
      <c r="H9" s="171">
        <v>1</v>
      </c>
    </row>
    <row r="10" spans="1:8" ht="29.45" customHeight="1" thickBot="1" x14ac:dyDescent="0.25">
      <c r="A10" s="172" t="s">
        <v>23</v>
      </c>
      <c r="B10" s="173">
        <v>774</v>
      </c>
      <c r="C10" s="174">
        <v>1</v>
      </c>
      <c r="D10" s="173">
        <v>8</v>
      </c>
      <c r="E10" s="174">
        <v>0</v>
      </c>
      <c r="F10" s="173">
        <v>0</v>
      </c>
      <c r="G10" s="175">
        <v>0</v>
      </c>
      <c r="H10" s="176">
        <v>9</v>
      </c>
    </row>
    <row r="11" spans="1:8" ht="15" thickBot="1" x14ac:dyDescent="0.25">
      <c r="A11" s="10" t="s">
        <v>21</v>
      </c>
      <c r="B11" s="108">
        <f t="shared" ref="B11:H11" si="0">SUM(B6:B10)</f>
        <v>1724</v>
      </c>
      <c r="C11" s="177">
        <f t="shared" si="0"/>
        <v>1</v>
      </c>
      <c r="D11" s="177">
        <f t="shared" si="0"/>
        <v>15</v>
      </c>
      <c r="E11" s="177">
        <f t="shared" si="0"/>
        <v>1</v>
      </c>
      <c r="F11" s="177">
        <f t="shared" si="0"/>
        <v>0</v>
      </c>
      <c r="G11" s="177">
        <f t="shared" si="0"/>
        <v>0</v>
      </c>
      <c r="H11" s="177">
        <f t="shared" si="0"/>
        <v>28</v>
      </c>
    </row>
    <row r="12" spans="1:8" ht="14.25" x14ac:dyDescent="0.2">
      <c r="A12" s="4"/>
      <c r="B12" s="2"/>
      <c r="C12" s="2"/>
      <c r="D12" s="2"/>
      <c r="E12" s="2"/>
      <c r="F12" s="161"/>
      <c r="G12" s="2"/>
      <c r="H12" s="180"/>
    </row>
    <row r="13" spans="1:8" ht="15.75" thickBot="1" x14ac:dyDescent="0.3">
      <c r="A13" s="3" t="s">
        <v>63</v>
      </c>
      <c r="F13" s="181"/>
    </row>
    <row r="14" spans="1:8" ht="14.25" x14ac:dyDescent="0.2">
      <c r="A14" s="7" t="s">
        <v>4</v>
      </c>
      <c r="B14" s="158">
        <v>33</v>
      </c>
      <c r="C14" s="159">
        <v>0</v>
      </c>
      <c r="D14" s="158">
        <v>0</v>
      </c>
      <c r="E14" s="159">
        <v>0</v>
      </c>
      <c r="F14" s="158">
        <v>0</v>
      </c>
      <c r="G14" s="182">
        <v>0</v>
      </c>
      <c r="H14" s="183">
        <v>0</v>
      </c>
    </row>
    <row r="15" spans="1:8" ht="14.25" x14ac:dyDescent="0.2">
      <c r="A15" s="11" t="s">
        <v>5</v>
      </c>
      <c r="B15" s="163">
        <v>289</v>
      </c>
      <c r="C15" s="164">
        <v>0</v>
      </c>
      <c r="D15" s="163">
        <v>5</v>
      </c>
      <c r="E15" s="164">
        <v>0</v>
      </c>
      <c r="F15" s="163">
        <v>0</v>
      </c>
      <c r="G15" s="165">
        <v>0</v>
      </c>
      <c r="H15" s="166">
        <v>5</v>
      </c>
    </row>
    <row r="16" spans="1:8" ht="14.25" x14ac:dyDescent="0.2">
      <c r="A16" s="11" t="s">
        <v>6</v>
      </c>
      <c r="B16" s="163">
        <v>57</v>
      </c>
      <c r="C16" s="164">
        <v>0</v>
      </c>
      <c r="D16" s="163">
        <v>0</v>
      </c>
      <c r="E16" s="164">
        <v>0</v>
      </c>
      <c r="F16" s="163">
        <v>0</v>
      </c>
      <c r="G16" s="165">
        <v>0</v>
      </c>
      <c r="H16" s="167">
        <v>2</v>
      </c>
    </row>
    <row r="17" spans="1:8" ht="14.25" x14ac:dyDescent="0.2">
      <c r="A17" s="11" t="s">
        <v>7</v>
      </c>
      <c r="B17" s="163">
        <v>28</v>
      </c>
      <c r="C17" s="164">
        <v>0</v>
      </c>
      <c r="D17" s="163">
        <v>0</v>
      </c>
      <c r="E17" s="164">
        <v>0</v>
      </c>
      <c r="F17" s="163">
        <v>0</v>
      </c>
      <c r="G17" s="165">
        <v>0</v>
      </c>
      <c r="H17" s="167">
        <v>0</v>
      </c>
    </row>
    <row r="18" spans="1:8" ht="14.25" x14ac:dyDescent="0.2">
      <c r="A18" s="11" t="s">
        <v>8</v>
      </c>
      <c r="B18" s="163">
        <v>7</v>
      </c>
      <c r="C18" s="164">
        <v>0</v>
      </c>
      <c r="D18" s="163">
        <v>0</v>
      </c>
      <c r="E18" s="164">
        <v>0</v>
      </c>
      <c r="F18" s="163">
        <v>0</v>
      </c>
      <c r="G18" s="165">
        <v>0</v>
      </c>
      <c r="H18" s="167">
        <v>0</v>
      </c>
    </row>
    <row r="19" spans="1:8" ht="14.25" x14ac:dyDescent="0.2">
      <c r="A19" s="11" t="s">
        <v>9</v>
      </c>
      <c r="B19" s="163">
        <v>17</v>
      </c>
      <c r="C19" s="164">
        <v>1</v>
      </c>
      <c r="D19" s="163">
        <v>0</v>
      </c>
      <c r="E19" s="164">
        <v>0</v>
      </c>
      <c r="F19" s="163">
        <v>0</v>
      </c>
      <c r="G19" s="165">
        <v>0</v>
      </c>
      <c r="H19" s="167">
        <v>1</v>
      </c>
    </row>
    <row r="20" spans="1:8" ht="14.25" x14ac:dyDescent="0.2">
      <c r="A20" s="11" t="s">
        <v>10</v>
      </c>
      <c r="B20" s="163">
        <v>21</v>
      </c>
      <c r="C20" s="164">
        <v>0</v>
      </c>
      <c r="D20" s="163">
        <v>0</v>
      </c>
      <c r="E20" s="164">
        <v>0</v>
      </c>
      <c r="F20" s="163">
        <v>0</v>
      </c>
      <c r="G20" s="165">
        <v>0</v>
      </c>
      <c r="H20" s="167">
        <v>0</v>
      </c>
    </row>
    <row r="21" spans="1:8" ht="14.25" x14ac:dyDescent="0.2">
      <c r="A21" s="11" t="s">
        <v>11</v>
      </c>
      <c r="B21" s="163">
        <v>90</v>
      </c>
      <c r="C21" s="164">
        <v>1</v>
      </c>
      <c r="D21" s="163">
        <v>0</v>
      </c>
      <c r="E21" s="164">
        <v>0</v>
      </c>
      <c r="F21" s="163">
        <v>0</v>
      </c>
      <c r="G21" s="165">
        <v>0</v>
      </c>
      <c r="H21" s="167">
        <v>4</v>
      </c>
    </row>
    <row r="22" spans="1:8" ht="14.25" x14ac:dyDescent="0.2">
      <c r="A22" s="11" t="s">
        <v>12</v>
      </c>
      <c r="B22" s="163">
        <v>1604</v>
      </c>
      <c r="C22" s="164">
        <v>4</v>
      </c>
      <c r="D22" s="163">
        <v>12</v>
      </c>
      <c r="E22" s="164">
        <v>0</v>
      </c>
      <c r="F22" s="163">
        <v>3</v>
      </c>
      <c r="G22" s="165">
        <v>0</v>
      </c>
      <c r="H22" s="166">
        <v>25</v>
      </c>
    </row>
    <row r="23" spans="1:8" ht="14.25" x14ac:dyDescent="0.2">
      <c r="A23" s="12" t="s">
        <v>13</v>
      </c>
      <c r="B23" s="168">
        <v>1</v>
      </c>
      <c r="C23" s="169">
        <v>0</v>
      </c>
      <c r="D23" s="168">
        <v>0</v>
      </c>
      <c r="E23" s="169">
        <v>0</v>
      </c>
      <c r="F23" s="168">
        <v>0</v>
      </c>
      <c r="G23" s="170">
        <v>0</v>
      </c>
      <c r="H23" s="184">
        <v>1</v>
      </c>
    </row>
    <row r="24" spans="1:8" ht="27" customHeight="1" thickBot="1" x14ac:dyDescent="0.25">
      <c r="A24" s="172" t="s">
        <v>23</v>
      </c>
      <c r="B24" s="173">
        <v>434</v>
      </c>
      <c r="C24" s="174">
        <v>1</v>
      </c>
      <c r="D24" s="173">
        <v>5</v>
      </c>
      <c r="E24" s="174">
        <v>0</v>
      </c>
      <c r="F24" s="173">
        <v>0</v>
      </c>
      <c r="G24" s="175">
        <v>0</v>
      </c>
      <c r="H24" s="185">
        <v>23</v>
      </c>
    </row>
    <row r="25" spans="1:8" ht="15" thickBot="1" x14ac:dyDescent="0.25">
      <c r="A25" s="13" t="s">
        <v>22</v>
      </c>
      <c r="B25" s="108">
        <f>SUM(B14:B24)</f>
        <v>2581</v>
      </c>
      <c r="C25" s="108">
        <f t="shared" ref="C25:H25" si="1">SUM(C14:C24)</f>
        <v>7</v>
      </c>
      <c r="D25" s="108">
        <f t="shared" si="1"/>
        <v>22</v>
      </c>
      <c r="E25" s="108">
        <f t="shared" si="1"/>
        <v>0</v>
      </c>
      <c r="F25" s="108">
        <f t="shared" si="1"/>
        <v>3</v>
      </c>
      <c r="G25" s="108">
        <f t="shared" si="1"/>
        <v>0</v>
      </c>
      <c r="H25" s="108">
        <f t="shared" si="1"/>
        <v>61</v>
      </c>
    </row>
    <row r="26" spans="1:8" ht="14.25" x14ac:dyDescent="0.2">
      <c r="A26" s="5"/>
      <c r="B26" s="2"/>
      <c r="C26" s="2"/>
      <c r="D26" s="2"/>
      <c r="E26" s="2"/>
      <c r="F26" s="161"/>
      <c r="G26" s="2"/>
      <c r="H26" s="2"/>
    </row>
    <row r="27" spans="1:8" ht="15.75" thickBot="1" x14ac:dyDescent="0.3">
      <c r="A27" s="6" t="s">
        <v>64</v>
      </c>
      <c r="B27" s="2"/>
      <c r="C27" s="2"/>
      <c r="D27" s="2"/>
      <c r="E27" s="2"/>
      <c r="F27" s="181"/>
      <c r="G27" s="2"/>
      <c r="H27" s="2"/>
    </row>
    <row r="28" spans="1:8" ht="14.25" x14ac:dyDescent="0.2">
      <c r="A28" s="7" t="s">
        <v>15</v>
      </c>
      <c r="B28" s="158">
        <v>3400</v>
      </c>
      <c r="C28" s="159">
        <v>3</v>
      </c>
      <c r="D28" s="158">
        <v>7</v>
      </c>
      <c r="E28" s="159">
        <v>1</v>
      </c>
      <c r="F28" s="158">
        <v>0</v>
      </c>
      <c r="G28" s="182">
        <v>0</v>
      </c>
      <c r="H28" s="183">
        <v>10</v>
      </c>
    </row>
    <row r="29" spans="1:8" ht="14.25" x14ac:dyDescent="0.2">
      <c r="A29" s="11" t="s">
        <v>16</v>
      </c>
      <c r="B29" s="163">
        <v>1527</v>
      </c>
      <c r="C29" s="164">
        <v>5</v>
      </c>
      <c r="D29" s="163">
        <v>6</v>
      </c>
      <c r="E29" s="164">
        <v>3</v>
      </c>
      <c r="F29" s="163">
        <v>3</v>
      </c>
      <c r="G29" s="165">
        <v>0</v>
      </c>
      <c r="H29" s="167">
        <v>16</v>
      </c>
    </row>
    <row r="30" spans="1:8" ht="14.25" x14ac:dyDescent="0.2">
      <c r="A30" s="11" t="s">
        <v>35</v>
      </c>
      <c r="B30" s="163">
        <v>894</v>
      </c>
      <c r="C30" s="164">
        <v>2</v>
      </c>
      <c r="D30" s="163">
        <v>3</v>
      </c>
      <c r="E30" s="164">
        <v>0</v>
      </c>
      <c r="F30" s="163">
        <v>0</v>
      </c>
      <c r="G30" s="165">
        <v>0</v>
      </c>
      <c r="H30" s="167">
        <v>4</v>
      </c>
    </row>
    <row r="31" spans="1:8" ht="14.25" x14ac:dyDescent="0.2">
      <c r="A31" s="11" t="s">
        <v>17</v>
      </c>
      <c r="B31" s="163">
        <v>7764</v>
      </c>
      <c r="C31" s="164">
        <v>4</v>
      </c>
      <c r="D31" s="163">
        <v>6</v>
      </c>
      <c r="E31" s="164">
        <v>3</v>
      </c>
      <c r="F31" s="163">
        <v>0</v>
      </c>
      <c r="G31" s="165">
        <v>0</v>
      </c>
      <c r="H31" s="167">
        <v>27</v>
      </c>
    </row>
    <row r="32" spans="1:8" ht="14.25" x14ac:dyDescent="0.2">
      <c r="A32" s="11" t="s">
        <v>18</v>
      </c>
      <c r="B32" s="163">
        <v>1612</v>
      </c>
      <c r="C32" s="164">
        <v>0</v>
      </c>
      <c r="D32" s="163">
        <v>0</v>
      </c>
      <c r="E32" s="164">
        <v>2</v>
      </c>
      <c r="F32" s="163">
        <v>1</v>
      </c>
      <c r="G32" s="165">
        <v>0</v>
      </c>
      <c r="H32" s="167">
        <v>18</v>
      </c>
    </row>
    <row r="33" spans="1:8" ht="14.25" x14ac:dyDescent="0.2">
      <c r="A33" s="11" t="s">
        <v>19</v>
      </c>
      <c r="B33" s="163">
        <v>10044</v>
      </c>
      <c r="C33" s="164">
        <v>20</v>
      </c>
      <c r="D33" s="163">
        <v>51</v>
      </c>
      <c r="E33" s="164">
        <v>10</v>
      </c>
      <c r="F33" s="163">
        <v>10</v>
      </c>
      <c r="G33" s="165">
        <v>1</v>
      </c>
      <c r="H33" s="167">
        <v>95</v>
      </c>
    </row>
    <row r="34" spans="1:8" ht="14.25" x14ac:dyDescent="0.2">
      <c r="A34" s="11" t="s">
        <v>20</v>
      </c>
      <c r="B34" s="163">
        <v>8230</v>
      </c>
      <c r="C34" s="164">
        <v>18</v>
      </c>
      <c r="D34" s="163">
        <v>27</v>
      </c>
      <c r="E34" s="164">
        <v>4</v>
      </c>
      <c r="F34" s="163">
        <v>2</v>
      </c>
      <c r="G34" s="165">
        <v>0</v>
      </c>
      <c r="H34" s="167">
        <v>54</v>
      </c>
    </row>
    <row r="35" spans="1:8" ht="14.25" x14ac:dyDescent="0.2">
      <c r="A35" s="11" t="s">
        <v>25</v>
      </c>
      <c r="B35" s="163">
        <v>86</v>
      </c>
      <c r="C35" s="164">
        <v>0</v>
      </c>
      <c r="D35" s="163">
        <v>6</v>
      </c>
      <c r="E35" s="164">
        <v>1</v>
      </c>
      <c r="F35" s="163">
        <v>0</v>
      </c>
      <c r="G35" s="165">
        <v>0</v>
      </c>
      <c r="H35" s="167">
        <v>24</v>
      </c>
    </row>
    <row r="36" spans="1:8" ht="15" thickBot="1" x14ac:dyDescent="0.25">
      <c r="A36" s="12" t="s">
        <v>26</v>
      </c>
      <c r="B36" s="168">
        <v>84881</v>
      </c>
      <c r="C36" s="169">
        <v>84</v>
      </c>
      <c r="D36" s="168">
        <v>177</v>
      </c>
      <c r="E36" s="169">
        <v>51</v>
      </c>
      <c r="F36" s="168">
        <v>18</v>
      </c>
      <c r="G36" s="170">
        <v>6</v>
      </c>
      <c r="H36" s="184">
        <v>473</v>
      </c>
    </row>
    <row r="37" spans="1:8" ht="15" thickBot="1" x14ac:dyDescent="0.25">
      <c r="A37" s="13" t="s">
        <v>21</v>
      </c>
      <c r="B37" s="108">
        <f>SUM(B28:B36)</f>
        <v>118438</v>
      </c>
      <c r="C37" s="108">
        <f t="shared" ref="C37:H37" si="2">SUM(C28:C36)</f>
        <v>136</v>
      </c>
      <c r="D37" s="108">
        <f t="shared" si="2"/>
        <v>283</v>
      </c>
      <c r="E37" s="108">
        <f t="shared" si="2"/>
        <v>75</v>
      </c>
      <c r="F37" s="108">
        <f t="shared" si="2"/>
        <v>34</v>
      </c>
      <c r="G37" s="108">
        <f t="shared" si="2"/>
        <v>7</v>
      </c>
      <c r="H37" s="108">
        <f t="shared" si="2"/>
        <v>721</v>
      </c>
    </row>
    <row r="38" spans="1:8" ht="14.25" x14ac:dyDescent="0.2">
      <c r="A38" s="14"/>
      <c r="B38" s="161"/>
      <c r="C38" s="161"/>
      <c r="D38" s="161"/>
      <c r="E38" s="161"/>
      <c r="F38" s="161"/>
      <c r="G38" s="161"/>
      <c r="H38" s="161"/>
    </row>
    <row r="39" spans="1:8" ht="15.75" thickBot="1" x14ac:dyDescent="0.3">
      <c r="A39" s="15" t="s">
        <v>28</v>
      </c>
      <c r="B39" s="181"/>
      <c r="C39" s="181"/>
      <c r="D39" s="181"/>
      <c r="E39" s="181"/>
      <c r="F39" s="181"/>
      <c r="G39" s="181"/>
      <c r="H39" s="181"/>
    </row>
    <row r="40" spans="1:8" ht="14.25" x14ac:dyDescent="0.2">
      <c r="A40" s="7" t="s">
        <v>69</v>
      </c>
      <c r="B40" s="158">
        <v>113</v>
      </c>
      <c r="C40" s="159">
        <v>0</v>
      </c>
      <c r="D40" s="158">
        <v>0</v>
      </c>
      <c r="E40" s="159">
        <v>0</v>
      </c>
      <c r="F40" s="158">
        <v>0</v>
      </c>
      <c r="G40" s="182">
        <v>0</v>
      </c>
      <c r="H40" s="183">
        <v>0</v>
      </c>
    </row>
    <row r="41" spans="1:8" ht="15" thickBot="1" x14ac:dyDescent="0.25">
      <c r="A41" s="12" t="s">
        <v>27</v>
      </c>
      <c r="B41" s="168">
        <v>57996</v>
      </c>
      <c r="C41" s="169">
        <v>18</v>
      </c>
      <c r="D41" s="168">
        <v>22</v>
      </c>
      <c r="E41" s="169">
        <v>1</v>
      </c>
      <c r="F41" s="168">
        <v>3</v>
      </c>
      <c r="G41" s="170">
        <v>1</v>
      </c>
      <c r="H41" s="184">
        <v>55</v>
      </c>
    </row>
    <row r="42" spans="1:8" ht="15" thickBot="1" x14ac:dyDescent="0.25">
      <c r="A42" s="13" t="s">
        <v>21</v>
      </c>
      <c r="B42" s="108">
        <f>SUM(B40:B41)</f>
        <v>58109</v>
      </c>
      <c r="C42" s="108">
        <f t="shared" ref="C42:H42" si="3">SUM(C40:C41)</f>
        <v>18</v>
      </c>
      <c r="D42" s="108">
        <f t="shared" si="3"/>
        <v>22</v>
      </c>
      <c r="E42" s="108">
        <f t="shared" si="3"/>
        <v>1</v>
      </c>
      <c r="F42" s="108">
        <f t="shared" si="3"/>
        <v>3</v>
      </c>
      <c r="G42" s="108">
        <f t="shared" si="3"/>
        <v>1</v>
      </c>
      <c r="H42" s="108">
        <f t="shared" si="3"/>
        <v>55</v>
      </c>
    </row>
  </sheetData>
  <mergeCells count="7">
    <mergeCell ref="A1:G1"/>
    <mergeCell ref="A3:A4"/>
    <mergeCell ref="B3:B4"/>
    <mergeCell ref="C3:C4"/>
    <mergeCell ref="D3:D4"/>
    <mergeCell ref="E3:E4"/>
    <mergeCell ref="G3:H3"/>
  </mergeCells>
  <pageMargins left="0.39370078740157483" right="0.39370078740157483" top="0.19685039370078741" bottom="0.19685039370078741" header="0.51181102362204722" footer="0.51181102362204722"/>
  <pageSetup paperSize="9" scale="83" orientation="landscape" horizontalDpi="300" verticalDpi="300" r:id="rId1"/>
  <headerFooter alignWithMargins="0">
    <oddHeader>&amp;L&amp;F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I44"/>
  <sheetViews>
    <sheetView zoomScaleNormal="100" workbookViewId="0">
      <selection activeCell="D36" sqref="D36"/>
    </sheetView>
  </sheetViews>
  <sheetFormatPr baseColWidth="10" defaultRowHeight="12.75" x14ac:dyDescent="0.2"/>
  <cols>
    <col min="1" max="1" width="26" bestFit="1" customWidth="1"/>
    <col min="2" max="2" width="17" customWidth="1"/>
    <col min="3" max="3" width="23.140625" customWidth="1"/>
    <col min="4" max="4" width="21.42578125" customWidth="1"/>
    <col min="5" max="5" width="16.42578125" customWidth="1"/>
    <col min="6" max="6" width="18.5703125" customWidth="1"/>
    <col min="7" max="7" width="18.42578125" customWidth="1"/>
    <col min="8" max="8" width="20.42578125" customWidth="1"/>
  </cols>
  <sheetData>
    <row r="1" spans="1:8" s="1" customFormat="1" ht="35.1" customHeight="1" x14ac:dyDescent="0.25">
      <c r="A1" s="730" t="s">
        <v>54</v>
      </c>
      <c r="B1" s="730"/>
      <c r="C1" s="730"/>
      <c r="D1" s="730"/>
      <c r="E1" s="730"/>
      <c r="F1" s="751"/>
      <c r="G1" s="754" t="s">
        <v>55</v>
      </c>
      <c r="H1" s="755"/>
    </row>
    <row r="2" spans="1:8" ht="10.35" customHeight="1" thickBot="1" x14ac:dyDescent="0.25"/>
    <row r="3" spans="1:8" ht="57" customHeight="1" x14ac:dyDescent="0.2">
      <c r="A3" s="743" t="s">
        <v>24</v>
      </c>
      <c r="B3" s="741" t="s">
        <v>0</v>
      </c>
      <c r="C3" s="743" t="s">
        <v>56</v>
      </c>
      <c r="D3" s="745" t="s">
        <v>57</v>
      </c>
      <c r="E3" s="747" t="s">
        <v>58</v>
      </c>
      <c r="F3" s="154" t="s">
        <v>46</v>
      </c>
      <c r="G3" s="749" t="s">
        <v>59</v>
      </c>
      <c r="H3" s="750"/>
    </row>
    <row r="4" spans="1:8" ht="16.5" thickBot="1" x14ac:dyDescent="0.3">
      <c r="A4" s="744"/>
      <c r="B4" s="742"/>
      <c r="C4" s="744"/>
      <c r="D4" s="746"/>
      <c r="E4" s="748"/>
      <c r="F4" s="155"/>
      <c r="G4" s="156" t="s">
        <v>60</v>
      </c>
      <c r="H4" s="157" t="s">
        <v>61</v>
      </c>
    </row>
    <row r="5" spans="1:8" ht="15.75" thickBot="1" x14ac:dyDescent="0.3">
      <c r="A5" s="3" t="s">
        <v>62</v>
      </c>
      <c r="F5" s="152"/>
    </row>
    <row r="6" spans="1:8" ht="14.25" x14ac:dyDescent="0.2">
      <c r="A6" s="7" t="s">
        <v>1</v>
      </c>
      <c r="B6" s="158">
        <v>41</v>
      </c>
      <c r="C6" s="159"/>
      <c r="D6" s="158"/>
      <c r="E6" s="159">
        <v>1</v>
      </c>
      <c r="F6" s="160"/>
      <c r="G6" s="161"/>
      <c r="H6" s="162">
        <v>2</v>
      </c>
    </row>
    <row r="7" spans="1:8" ht="14.25" x14ac:dyDescent="0.2">
      <c r="A7" s="8" t="s">
        <v>2</v>
      </c>
      <c r="B7" s="163">
        <v>352</v>
      </c>
      <c r="C7" s="164">
        <v>1</v>
      </c>
      <c r="D7" s="163">
        <v>4</v>
      </c>
      <c r="E7" s="164">
        <v>1</v>
      </c>
      <c r="F7" s="163">
        <v>1</v>
      </c>
      <c r="G7" s="165"/>
      <c r="H7" s="166">
        <v>12</v>
      </c>
    </row>
    <row r="8" spans="1:8" ht="14.25" x14ac:dyDescent="0.2">
      <c r="A8" s="8" t="s">
        <v>14</v>
      </c>
      <c r="B8" s="163">
        <v>43</v>
      </c>
      <c r="C8" s="164"/>
      <c r="D8" s="163"/>
      <c r="E8" s="164"/>
      <c r="F8" s="163"/>
      <c r="G8" s="165"/>
      <c r="H8" s="167">
        <v>2</v>
      </c>
    </row>
    <row r="9" spans="1:8" ht="14.25" x14ac:dyDescent="0.2">
      <c r="A9" s="9" t="s">
        <v>3</v>
      </c>
      <c r="B9" s="168">
        <v>50</v>
      </c>
      <c r="C9" s="169"/>
      <c r="D9" s="168"/>
      <c r="E9" s="169">
        <v>1</v>
      </c>
      <c r="F9" s="168"/>
      <c r="G9" s="170"/>
      <c r="H9" s="171">
        <v>1</v>
      </c>
    </row>
    <row r="10" spans="1:8" ht="29.45" customHeight="1" thickBot="1" x14ac:dyDescent="0.25">
      <c r="A10" s="172" t="s">
        <v>23</v>
      </c>
      <c r="B10" s="173">
        <v>369</v>
      </c>
      <c r="C10" s="174">
        <v>1</v>
      </c>
      <c r="D10" s="173">
        <v>1</v>
      </c>
      <c r="E10" s="174">
        <v>3</v>
      </c>
      <c r="F10" s="173"/>
      <c r="G10" s="175"/>
      <c r="H10" s="176">
        <v>10</v>
      </c>
    </row>
    <row r="11" spans="1:8" ht="15" thickBot="1" x14ac:dyDescent="0.25">
      <c r="A11" s="10" t="s">
        <v>21</v>
      </c>
      <c r="B11" s="108">
        <f t="shared" ref="B11:H11" si="0">SUM(B6:B10)</f>
        <v>855</v>
      </c>
      <c r="C11" s="177">
        <f t="shared" si="0"/>
        <v>2</v>
      </c>
      <c r="D11" s="108">
        <f t="shared" si="0"/>
        <v>5</v>
      </c>
      <c r="E11" s="177">
        <f t="shared" si="0"/>
        <v>6</v>
      </c>
      <c r="F11" s="108">
        <f t="shared" si="0"/>
        <v>1</v>
      </c>
      <c r="G11" s="178">
        <f t="shared" si="0"/>
        <v>0</v>
      </c>
      <c r="H11" s="179">
        <f t="shared" si="0"/>
        <v>27</v>
      </c>
    </row>
    <row r="12" spans="1:8" ht="14.25" x14ac:dyDescent="0.2">
      <c r="A12" s="4"/>
      <c r="B12" s="2"/>
      <c r="C12" s="2"/>
      <c r="D12" s="2"/>
      <c r="E12" s="2"/>
      <c r="F12" s="161"/>
      <c r="G12" s="2"/>
      <c r="H12" s="180"/>
    </row>
    <row r="13" spans="1:8" ht="15.75" thickBot="1" x14ac:dyDescent="0.3">
      <c r="A13" s="3" t="s">
        <v>63</v>
      </c>
      <c r="F13" s="181"/>
    </row>
    <row r="14" spans="1:8" ht="14.25" x14ac:dyDescent="0.2">
      <c r="A14" s="7" t="s">
        <v>4</v>
      </c>
      <c r="B14" s="158">
        <v>14</v>
      </c>
      <c r="C14" s="159"/>
      <c r="D14" s="158"/>
      <c r="E14" s="159"/>
      <c r="F14" s="158"/>
      <c r="G14" s="182"/>
      <c r="H14" s="183"/>
    </row>
    <row r="15" spans="1:8" ht="14.25" x14ac:dyDescent="0.2">
      <c r="A15" s="11" t="s">
        <v>5</v>
      </c>
      <c r="B15" s="163">
        <v>89</v>
      </c>
      <c r="C15" s="164"/>
      <c r="D15" s="163"/>
      <c r="E15" s="164"/>
      <c r="F15" s="163"/>
      <c r="G15" s="165"/>
      <c r="H15" s="166">
        <v>4</v>
      </c>
    </row>
    <row r="16" spans="1:8" ht="14.25" x14ac:dyDescent="0.2">
      <c r="A16" s="11" t="s">
        <v>6</v>
      </c>
      <c r="B16" s="163">
        <v>32</v>
      </c>
      <c r="C16" s="164"/>
      <c r="D16" s="163"/>
      <c r="E16" s="164"/>
      <c r="F16" s="163"/>
      <c r="G16" s="165"/>
      <c r="H16" s="167"/>
    </row>
    <row r="17" spans="1:9" ht="14.25" x14ac:dyDescent="0.2">
      <c r="A17" s="11" t="s">
        <v>7</v>
      </c>
      <c r="B17" s="163">
        <v>27</v>
      </c>
      <c r="C17" s="164"/>
      <c r="D17" s="163"/>
      <c r="E17" s="164"/>
      <c r="F17" s="163"/>
      <c r="G17" s="165"/>
      <c r="H17" s="167">
        <v>1</v>
      </c>
    </row>
    <row r="18" spans="1:9" ht="14.25" x14ac:dyDescent="0.2">
      <c r="A18" s="11" t="s">
        <v>8</v>
      </c>
      <c r="B18" s="163">
        <v>3</v>
      </c>
      <c r="C18" s="164"/>
      <c r="D18" s="163"/>
      <c r="E18" s="164"/>
      <c r="F18" s="163"/>
      <c r="G18" s="165"/>
      <c r="H18" s="167"/>
    </row>
    <row r="19" spans="1:9" ht="14.25" x14ac:dyDescent="0.2">
      <c r="A19" s="11" t="s">
        <v>9</v>
      </c>
      <c r="B19" s="163">
        <v>7</v>
      </c>
      <c r="C19" s="164"/>
      <c r="D19" s="163"/>
      <c r="E19" s="164"/>
      <c r="F19" s="163"/>
      <c r="G19" s="165"/>
      <c r="H19" s="167"/>
    </row>
    <row r="20" spans="1:9" ht="14.25" x14ac:dyDescent="0.2">
      <c r="A20" s="11" t="s">
        <v>10</v>
      </c>
      <c r="B20" s="163">
        <v>1</v>
      </c>
      <c r="C20" s="164"/>
      <c r="D20" s="163"/>
      <c r="E20" s="164"/>
      <c r="F20" s="163"/>
      <c r="G20" s="165"/>
      <c r="H20" s="167"/>
    </row>
    <row r="21" spans="1:9" ht="14.25" x14ac:dyDescent="0.2">
      <c r="A21" s="11" t="s">
        <v>11</v>
      </c>
      <c r="B21" s="163">
        <v>39</v>
      </c>
      <c r="C21" s="164"/>
      <c r="D21" s="163"/>
      <c r="E21" s="164"/>
      <c r="F21" s="163"/>
      <c r="G21" s="165"/>
      <c r="H21" s="167"/>
    </row>
    <row r="22" spans="1:9" ht="14.25" x14ac:dyDescent="0.2">
      <c r="A22" s="11" t="s">
        <v>12</v>
      </c>
      <c r="B22" s="163">
        <v>826</v>
      </c>
      <c r="C22" s="164">
        <v>4</v>
      </c>
      <c r="D22" s="163">
        <v>4</v>
      </c>
      <c r="E22" s="164">
        <v>3</v>
      </c>
      <c r="F22" s="163">
        <v>1</v>
      </c>
      <c r="G22" s="165">
        <v>1</v>
      </c>
      <c r="H22" s="166">
        <v>27</v>
      </c>
    </row>
    <row r="23" spans="1:9" ht="14.25" x14ac:dyDescent="0.2">
      <c r="A23" s="12" t="s">
        <v>13</v>
      </c>
      <c r="B23" s="168">
        <v>3</v>
      </c>
      <c r="C23" s="169"/>
      <c r="D23" s="168"/>
      <c r="E23" s="169"/>
      <c r="F23" s="168"/>
      <c r="G23" s="170"/>
      <c r="H23" s="184"/>
    </row>
    <row r="24" spans="1:9" ht="27" customHeight="1" thickBot="1" x14ac:dyDescent="0.25">
      <c r="A24" s="172" t="s">
        <v>23</v>
      </c>
      <c r="B24" s="173">
        <v>244</v>
      </c>
      <c r="C24" s="174">
        <v>1</v>
      </c>
      <c r="D24" s="173"/>
      <c r="E24" s="174"/>
      <c r="F24" s="173"/>
      <c r="G24" s="175"/>
      <c r="H24" s="185">
        <v>5</v>
      </c>
    </row>
    <row r="25" spans="1:9" ht="15" thickBot="1" x14ac:dyDescent="0.25">
      <c r="A25" s="13" t="s">
        <v>22</v>
      </c>
      <c r="B25" s="186">
        <f t="shared" ref="B25:H25" si="1">SUM(B14:B24)</f>
        <v>1285</v>
      </c>
      <c r="C25" s="187">
        <f t="shared" si="1"/>
        <v>5</v>
      </c>
      <c r="D25" s="188">
        <f t="shared" si="1"/>
        <v>4</v>
      </c>
      <c r="E25" s="177">
        <f t="shared" si="1"/>
        <v>3</v>
      </c>
      <c r="F25" s="108">
        <f t="shared" si="1"/>
        <v>1</v>
      </c>
      <c r="G25" s="178">
        <f t="shared" si="1"/>
        <v>1</v>
      </c>
      <c r="H25" s="188">
        <f t="shared" si="1"/>
        <v>37</v>
      </c>
    </row>
    <row r="26" spans="1:9" ht="14.25" x14ac:dyDescent="0.2">
      <c r="A26" s="5"/>
      <c r="B26" s="2"/>
      <c r="C26" s="2"/>
      <c r="D26" s="2"/>
      <c r="E26" s="2"/>
      <c r="F26" s="161"/>
      <c r="G26" s="2"/>
      <c r="H26" s="2"/>
    </row>
    <row r="27" spans="1:9" ht="15.75" thickBot="1" x14ac:dyDescent="0.3">
      <c r="A27" s="6" t="s">
        <v>64</v>
      </c>
      <c r="B27" s="2"/>
      <c r="C27" s="2"/>
      <c r="D27" s="2"/>
      <c r="E27" s="2"/>
      <c r="F27" s="181"/>
      <c r="G27" s="2"/>
      <c r="H27" s="2"/>
    </row>
    <row r="28" spans="1:9" ht="14.25" x14ac:dyDescent="0.2">
      <c r="A28" s="7" t="s">
        <v>15</v>
      </c>
      <c r="B28" s="189">
        <v>3005</v>
      </c>
      <c r="C28" s="159"/>
      <c r="D28" s="158"/>
      <c r="E28" s="159">
        <v>1</v>
      </c>
      <c r="F28" s="158"/>
      <c r="G28" s="182"/>
      <c r="H28" s="183">
        <v>7</v>
      </c>
    </row>
    <row r="29" spans="1:9" ht="14.25" x14ac:dyDescent="0.2">
      <c r="A29" s="11" t="s">
        <v>16</v>
      </c>
      <c r="B29" s="190">
        <v>1005</v>
      </c>
      <c r="C29" s="164">
        <v>1</v>
      </c>
      <c r="D29" s="163"/>
      <c r="E29" s="164"/>
      <c r="F29" s="163"/>
      <c r="G29" s="165"/>
      <c r="H29" s="167">
        <v>6</v>
      </c>
    </row>
    <row r="30" spans="1:9" ht="14.25" x14ac:dyDescent="0.2">
      <c r="A30" s="11" t="s">
        <v>35</v>
      </c>
      <c r="B30" s="190">
        <v>1308</v>
      </c>
      <c r="C30" s="164"/>
      <c r="D30" s="163">
        <v>5</v>
      </c>
      <c r="E30" s="164">
        <v>2</v>
      </c>
      <c r="F30" s="163"/>
      <c r="G30" s="165">
        <v>1</v>
      </c>
      <c r="H30" s="167">
        <v>4</v>
      </c>
      <c r="I30" s="191"/>
    </row>
    <row r="31" spans="1:9" ht="14.25" x14ac:dyDescent="0.2">
      <c r="A31" s="11" t="s">
        <v>17</v>
      </c>
      <c r="B31" s="190">
        <v>6412</v>
      </c>
      <c r="C31" s="164">
        <v>1</v>
      </c>
      <c r="D31" s="163">
        <v>5</v>
      </c>
      <c r="E31" s="164">
        <v>3</v>
      </c>
      <c r="F31" s="163">
        <v>1</v>
      </c>
      <c r="G31" s="165"/>
      <c r="H31" s="167">
        <v>10</v>
      </c>
    </row>
    <row r="32" spans="1:9" ht="14.25" x14ac:dyDescent="0.2">
      <c r="A32" s="11" t="s">
        <v>18</v>
      </c>
      <c r="B32" s="190">
        <v>2765</v>
      </c>
      <c r="C32" s="164"/>
      <c r="D32" s="163">
        <v>10</v>
      </c>
      <c r="E32" s="164">
        <v>1</v>
      </c>
      <c r="F32" s="163"/>
      <c r="G32" s="165">
        <v>1</v>
      </c>
      <c r="H32" s="167">
        <v>7</v>
      </c>
    </row>
    <row r="33" spans="1:8" ht="14.25" x14ac:dyDescent="0.2">
      <c r="A33" s="11" t="s">
        <v>19</v>
      </c>
      <c r="B33" s="190">
        <v>7456</v>
      </c>
      <c r="C33" s="164">
        <v>13</v>
      </c>
      <c r="D33" s="163">
        <v>24</v>
      </c>
      <c r="E33" s="164">
        <v>5</v>
      </c>
      <c r="F33" s="163">
        <v>3</v>
      </c>
      <c r="G33" s="165"/>
      <c r="H33" s="167">
        <v>36</v>
      </c>
    </row>
    <row r="34" spans="1:8" ht="14.25" x14ac:dyDescent="0.2">
      <c r="A34" s="11" t="s">
        <v>20</v>
      </c>
      <c r="B34" s="190">
        <v>4983</v>
      </c>
      <c r="C34" s="164">
        <v>2</v>
      </c>
      <c r="D34" s="163">
        <v>11</v>
      </c>
      <c r="E34" s="164">
        <v>5</v>
      </c>
      <c r="F34" s="163">
        <v>1</v>
      </c>
      <c r="G34" s="165"/>
      <c r="H34" s="167">
        <v>43</v>
      </c>
    </row>
    <row r="35" spans="1:8" ht="14.25" x14ac:dyDescent="0.2">
      <c r="A35" s="11" t="s">
        <v>25</v>
      </c>
      <c r="B35" s="190">
        <v>26</v>
      </c>
      <c r="C35" s="164"/>
      <c r="D35" s="163">
        <v>1</v>
      </c>
      <c r="E35" s="164"/>
      <c r="F35" s="163">
        <v>1</v>
      </c>
      <c r="G35" s="165"/>
      <c r="H35" s="167"/>
    </row>
    <row r="36" spans="1:8" ht="15" thickBot="1" x14ac:dyDescent="0.25">
      <c r="A36" s="12" t="s">
        <v>26</v>
      </c>
      <c r="B36" s="192">
        <v>58835</v>
      </c>
      <c r="C36" s="169">
        <v>48</v>
      </c>
      <c r="D36" s="168">
        <v>67</v>
      </c>
      <c r="E36" s="169">
        <v>32</v>
      </c>
      <c r="F36" s="168">
        <v>8</v>
      </c>
      <c r="G36" s="170">
        <v>1</v>
      </c>
      <c r="H36" s="184">
        <v>416</v>
      </c>
    </row>
    <row r="37" spans="1:8" ht="15" thickBot="1" x14ac:dyDescent="0.25">
      <c r="A37" s="13" t="s">
        <v>21</v>
      </c>
      <c r="B37" s="186">
        <f t="shared" ref="B37:H37" si="2">SUM(B28:B36)</f>
        <v>85795</v>
      </c>
      <c r="C37" s="177">
        <f t="shared" si="2"/>
        <v>65</v>
      </c>
      <c r="D37" s="108">
        <f t="shared" si="2"/>
        <v>123</v>
      </c>
      <c r="E37" s="177">
        <f t="shared" si="2"/>
        <v>49</v>
      </c>
      <c r="F37" s="108">
        <f t="shared" si="2"/>
        <v>14</v>
      </c>
      <c r="G37" s="178">
        <f t="shared" si="2"/>
        <v>3</v>
      </c>
      <c r="H37" s="188">
        <f t="shared" si="2"/>
        <v>529</v>
      </c>
    </row>
    <row r="38" spans="1:8" ht="14.25" x14ac:dyDescent="0.2">
      <c r="A38" s="14"/>
      <c r="B38" s="161"/>
      <c r="C38" s="161"/>
      <c r="D38" s="161"/>
      <c r="E38" s="161"/>
      <c r="F38" s="161"/>
      <c r="G38" s="161"/>
      <c r="H38" s="161"/>
    </row>
    <row r="39" spans="1:8" ht="15.75" thickBot="1" x14ac:dyDescent="0.3">
      <c r="A39" s="15" t="s">
        <v>28</v>
      </c>
      <c r="B39" s="181"/>
      <c r="C39" s="181"/>
      <c r="D39" s="181"/>
      <c r="E39" s="181"/>
      <c r="F39" s="181"/>
      <c r="G39" s="181"/>
      <c r="H39" s="181"/>
    </row>
    <row r="40" spans="1:8" ht="14.25" x14ac:dyDescent="0.2">
      <c r="A40" s="7" t="s">
        <v>65</v>
      </c>
      <c r="B40" s="158">
        <v>65</v>
      </c>
      <c r="C40" s="159">
        <v>1</v>
      </c>
      <c r="D40" s="158">
        <v>4</v>
      </c>
      <c r="E40" s="159"/>
      <c r="F40" s="158"/>
      <c r="G40" s="182"/>
      <c r="H40" s="183">
        <v>1</v>
      </c>
    </row>
    <row r="41" spans="1:8" ht="15" thickBot="1" x14ac:dyDescent="0.25">
      <c r="A41" s="12" t="s">
        <v>27</v>
      </c>
      <c r="B41" s="192">
        <v>67552</v>
      </c>
      <c r="C41" s="169">
        <v>14</v>
      </c>
      <c r="D41" s="168">
        <v>11</v>
      </c>
      <c r="E41" s="169">
        <v>6</v>
      </c>
      <c r="F41" s="168"/>
      <c r="G41" s="170"/>
      <c r="H41" s="184">
        <v>61</v>
      </c>
    </row>
    <row r="42" spans="1:8" ht="15" thickBot="1" x14ac:dyDescent="0.25">
      <c r="A42" s="13" t="s">
        <v>21</v>
      </c>
      <c r="B42" s="186">
        <f t="shared" ref="B42:H42" si="3">SUM(B40:B41)</f>
        <v>67617</v>
      </c>
      <c r="C42" s="177">
        <f t="shared" si="3"/>
        <v>15</v>
      </c>
      <c r="D42" s="108">
        <f t="shared" si="3"/>
        <v>15</v>
      </c>
      <c r="E42" s="177">
        <f t="shared" si="3"/>
        <v>6</v>
      </c>
      <c r="F42" s="108">
        <f t="shared" si="3"/>
        <v>0</v>
      </c>
      <c r="G42" s="178">
        <f t="shared" si="3"/>
        <v>0</v>
      </c>
      <c r="H42" s="188">
        <f t="shared" si="3"/>
        <v>62</v>
      </c>
    </row>
    <row r="43" spans="1:8" ht="13.5" thickBot="1" x14ac:dyDescent="0.25"/>
    <row r="44" spans="1:8" ht="15" thickBot="1" x14ac:dyDescent="0.25">
      <c r="A44" s="193" t="s">
        <v>66</v>
      </c>
      <c r="B44" s="194">
        <v>155552</v>
      </c>
      <c r="C44" s="195">
        <v>87</v>
      </c>
      <c r="D44" s="195">
        <v>147</v>
      </c>
      <c r="E44" s="195">
        <v>64</v>
      </c>
      <c r="F44" s="195">
        <v>16</v>
      </c>
      <c r="G44" s="195">
        <v>12</v>
      </c>
      <c r="H44" s="188">
        <v>655</v>
      </c>
    </row>
  </sheetData>
  <mergeCells count="8">
    <mergeCell ref="A1:F1"/>
    <mergeCell ref="G1:H1"/>
    <mergeCell ref="A3:A4"/>
    <mergeCell ref="B3:B4"/>
    <mergeCell ref="C3:C4"/>
    <mergeCell ref="D3:D4"/>
    <mergeCell ref="E3:E4"/>
    <mergeCell ref="G3:H3"/>
  </mergeCells>
  <pageMargins left="0.39370078740157483" right="0.39370078740157483" top="0.19685039370078741" bottom="0.19685039370078741" header="0.51181102362204722" footer="0.51181102362204722"/>
  <pageSetup paperSize="9" scale="7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12</vt:i4>
      </vt:variant>
    </vt:vector>
  </HeadingPairs>
  <TitlesOfParts>
    <vt:vector size="39" baseType="lpstr">
      <vt:lpstr>BEaH13</vt:lpstr>
      <vt:lpstr>BEaH14</vt:lpstr>
      <vt:lpstr>BEaH15</vt:lpstr>
      <vt:lpstr>BEaH16</vt:lpstr>
      <vt:lpstr>Arnsberg14</vt:lpstr>
      <vt:lpstr>Detmold14</vt:lpstr>
      <vt:lpstr>Düsseldorf14</vt:lpstr>
      <vt:lpstr>Kölle14</vt:lpstr>
      <vt:lpstr>Münster14</vt:lpstr>
      <vt:lpstr>BEaH17</vt:lpstr>
      <vt:lpstr>BEaH18</vt:lpstr>
      <vt:lpstr>BEaH19</vt:lpstr>
      <vt:lpstr>BEaH20</vt:lpstr>
      <vt:lpstr>BEaH21</vt:lpstr>
      <vt:lpstr>BEaH22</vt:lpstr>
      <vt:lpstr>Stat%BM3,10,11</vt:lpstr>
      <vt:lpstr>Stati%BT3,10,11</vt:lpstr>
      <vt:lpstr>Stat%SOVO3,10,11</vt:lpstr>
      <vt:lpstr>1Anz3</vt:lpstr>
      <vt:lpstr>2Anz3BR</vt:lpstr>
      <vt:lpstr>3Vorfälle§3</vt:lpstr>
      <vt:lpstr>4Anz10</vt:lpstr>
      <vt:lpstr>9Grafik</vt:lpstr>
      <vt:lpstr>5Anz10BR</vt:lpstr>
      <vt:lpstr>6Vorf10</vt:lpstr>
      <vt:lpstr>7Anz11</vt:lpstr>
      <vt:lpstr>8Anz11BR</vt:lpstr>
      <vt:lpstr>BEaH13!Druckbereich</vt:lpstr>
      <vt:lpstr>BEaH14!Druckbereich</vt:lpstr>
      <vt:lpstr>BEaH15!Druckbereich</vt:lpstr>
      <vt:lpstr>BEaH16!Druckbereich</vt:lpstr>
      <vt:lpstr>BEaH17!Druckbereich</vt:lpstr>
      <vt:lpstr>BEaH18!Druckbereich</vt:lpstr>
      <vt:lpstr>BEaH19!Druckbereich</vt:lpstr>
      <vt:lpstr>BEaH20!Druckbereich</vt:lpstr>
      <vt:lpstr>BEaH21!Druckbereich</vt:lpstr>
      <vt:lpstr>'Stat%BM3,10,11'!Druckbereich</vt:lpstr>
      <vt:lpstr>'Stat%SOVO3,10,11'!Druckbereich</vt:lpstr>
      <vt:lpstr>'Stati%BT3,10,11'!Druckbereich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Brauers</dc:creator>
  <cp:lastModifiedBy>Meierle, Christina (MLV)</cp:lastModifiedBy>
  <cp:lastPrinted>2023-07-26T15:01:20Z</cp:lastPrinted>
  <dcterms:created xsi:type="dcterms:W3CDTF">2008-01-21T12:53:07Z</dcterms:created>
  <dcterms:modified xsi:type="dcterms:W3CDTF">2023-12-13T07:26:39Z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