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rekler\Documents\"/>
    </mc:Choice>
  </mc:AlternateContent>
  <xr:revisionPtr revIDLastSave="0" documentId="8_{CC70EC6D-A5E5-4654-A7FA-EC8C8B36E511}" xr6:coauthVersionLast="47" xr6:coauthVersionMax="47" xr10:uidLastSave="{00000000-0000-0000-0000-000000000000}"/>
  <bookViews>
    <workbookView xWindow="-108" yWindow="-108" windowWidth="30936" windowHeight="16776" tabRatio="868" firstSheet="24" activeTab="27" xr2:uid="{00000000-000D-0000-FFFF-FFFF00000000}"/>
  </bookViews>
  <sheets>
    <sheet name="2003" sheetId="49" r:id="rId1"/>
    <sheet name="2004" sheetId="48" r:id="rId2"/>
    <sheet name="2005" sheetId="47" r:id="rId3"/>
    <sheet name="2006" sheetId="46" r:id="rId4"/>
    <sheet name="2007" sheetId="45" r:id="rId5"/>
    <sheet name="2008" sheetId="44" r:id="rId6"/>
    <sheet name="2009" sheetId="40" r:id="rId7"/>
    <sheet name="2010" sheetId="39" r:id="rId8"/>
    <sheet name="2011" sheetId="38" r:id="rId9"/>
    <sheet name="2012" sheetId="37" r:id="rId10"/>
    <sheet name="BEaH13" sheetId="13" r:id="rId11"/>
    <sheet name="BEaH14" sheetId="25" r:id="rId12"/>
    <sheet name="BEaH15" sheetId="27" r:id="rId13"/>
    <sheet name="BEaH16" sheetId="3" r:id="rId14"/>
    <sheet name="Arnsberg14" sheetId="7" state="hidden" r:id="rId15"/>
    <sheet name="Detmold14" sheetId="6" state="hidden" r:id="rId16"/>
    <sheet name="Düsseldorf14" sheetId="5" state="hidden" r:id="rId17"/>
    <sheet name="Kölle14" sheetId="8" state="hidden" r:id="rId18"/>
    <sheet name="Münster14" sheetId="4" state="hidden" r:id="rId19"/>
    <sheet name="BEaH17" sheetId="28" r:id="rId20"/>
    <sheet name="BEaH18" sheetId="29" r:id="rId21"/>
    <sheet name="BEaH19" sheetId="30" r:id="rId22"/>
    <sheet name="BEaH20" sheetId="31" r:id="rId23"/>
    <sheet name="BEaH21" sheetId="32" r:id="rId24"/>
    <sheet name="BEaH22" sheetId="33" r:id="rId25"/>
    <sheet name="BEaH23" sheetId="34" r:id="rId26"/>
    <sheet name="BEaH24" sheetId="50" r:id="rId27"/>
    <sheet name="BEaH25" sheetId="57" r:id="rId28"/>
    <sheet name="Stat%BM3,10,11" sheetId="10" r:id="rId29"/>
    <sheet name="Stati%BT3,10,11" sheetId="9" r:id="rId30"/>
    <sheet name="Stat%SOVO3,10,11" sheetId="11" r:id="rId31"/>
    <sheet name="Stat%RelErhb-BM" sheetId="55" r:id="rId32"/>
    <sheet name="Stat%RelErhb-BT" sheetId="56" r:id="rId33"/>
    <sheet name="1Anz3" sheetId="17" r:id="rId34"/>
    <sheet name="2Anz3BR" sheetId="18" r:id="rId35"/>
    <sheet name="3Vorfälle§3" sheetId="19" r:id="rId36"/>
    <sheet name="4Anz10" sheetId="20" r:id="rId37"/>
    <sheet name="5Anz10BR" sheetId="21" r:id="rId38"/>
    <sheet name="6Vorf10" sheetId="22" r:id="rId39"/>
    <sheet name="7Anz11" sheetId="23" r:id="rId40"/>
    <sheet name="8Anz11BR" sheetId="24" r:id="rId41"/>
    <sheet name="Stat%DC-BM" sheetId="51" r:id="rId42"/>
    <sheet name="Stat%DC-BT" sheetId="52" r:id="rId43"/>
    <sheet name="Stat%MiniBT-BM" sheetId="53" r:id="rId44"/>
    <sheet name="Stat%MiniBT-BT" sheetId="54" r:id="rId45"/>
    <sheet name="9Grafik" sheetId="15" r:id="rId46"/>
    <sheet name="ESRI_MAPINFO_SHEET" sheetId="36" state="veryHidden" r:id="rId47"/>
  </sheets>
  <definedNames>
    <definedName name="_xlnm.Print_Area" localSheetId="10">BEaH13!$A$1:$AE$43</definedName>
    <definedName name="_xlnm.Print_Area" localSheetId="11">BEaH14!$A$1:$AE$43</definedName>
    <definedName name="_xlnm.Print_Area" localSheetId="12">BEaH15!$A$1:$AE$43</definedName>
    <definedName name="_xlnm.Print_Area" localSheetId="13">BEaH16!$A$1:$AE$43</definedName>
    <definedName name="_xlnm.Print_Area" localSheetId="19">BEaH17!$A$1:$AE$43</definedName>
    <definedName name="_xlnm.Print_Area" localSheetId="20">BEaH18!$A$1:$AE$43</definedName>
    <definedName name="_xlnm.Print_Area" localSheetId="21">BEaH19!$A$1:$AE$43</definedName>
    <definedName name="_xlnm.Print_Area" localSheetId="22">BEaH20!$A$1:$AE$43</definedName>
    <definedName name="_xlnm.Print_Area" localSheetId="23">BEaH21!$A$1:$AE$43</definedName>
    <definedName name="_xlnm.Print_Area" localSheetId="28">'Stat%BM3,10,11'!$B$1:$L$52</definedName>
    <definedName name="_xlnm.Print_Area" localSheetId="30">'Stat%SOVO3,10,11'!$B$1:$L$52</definedName>
    <definedName name="_xlnm.Print_Area" localSheetId="29">'Stati%BT3,10,11'!$B$1:$L$52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0" l="1"/>
  <c r="E56" i="10"/>
  <c r="F56" i="10"/>
  <c r="G56" i="10"/>
  <c r="H56" i="10"/>
  <c r="D57" i="11"/>
  <c r="E57" i="11"/>
  <c r="F57" i="11"/>
  <c r="G57" i="11"/>
  <c r="H57" i="11"/>
  <c r="I57" i="11"/>
  <c r="J57" i="11"/>
  <c r="D58" i="11"/>
  <c r="E58" i="11"/>
  <c r="F58" i="11"/>
  <c r="G58" i="11"/>
  <c r="H58" i="11"/>
  <c r="I58" i="11"/>
  <c r="J58" i="11"/>
  <c r="J56" i="11"/>
  <c r="I56" i="11"/>
  <c r="H56" i="11"/>
  <c r="G56" i="11"/>
  <c r="F56" i="11"/>
  <c r="E56" i="11"/>
  <c r="D56" i="11"/>
  <c r="D57" i="9"/>
  <c r="E57" i="9"/>
  <c r="F57" i="9"/>
  <c r="G57" i="9"/>
  <c r="H57" i="9"/>
  <c r="I57" i="9"/>
  <c r="J57" i="9"/>
  <c r="D58" i="9"/>
  <c r="E58" i="9"/>
  <c r="F58" i="9"/>
  <c r="G58" i="9"/>
  <c r="H58" i="9"/>
  <c r="I58" i="9"/>
  <c r="J58" i="9"/>
  <c r="J56" i="9"/>
  <c r="I56" i="9"/>
  <c r="H56" i="9"/>
  <c r="G56" i="9"/>
  <c r="F56" i="9"/>
  <c r="E56" i="9"/>
  <c r="D56" i="9"/>
  <c r="D58" i="10"/>
  <c r="E58" i="10"/>
  <c r="F58" i="10"/>
  <c r="G58" i="10"/>
  <c r="H58" i="10"/>
  <c r="I58" i="10"/>
  <c r="J58" i="10"/>
  <c r="E57" i="10"/>
  <c r="F57" i="10"/>
  <c r="G57" i="10"/>
  <c r="H57" i="10"/>
  <c r="I57" i="10"/>
  <c r="J57" i="10"/>
  <c r="D57" i="10"/>
  <c r="J56" i="10"/>
  <c r="I56" i="10"/>
  <c r="B7" i="34"/>
  <c r="B8" i="34"/>
  <c r="B9" i="34"/>
  <c r="B10" i="34"/>
  <c r="B11" i="34"/>
  <c r="E32" i="50"/>
  <c r="AP56" i="57"/>
  <c r="AX56" i="57"/>
  <c r="AU13" i="57"/>
  <c r="V28" i="57"/>
  <c r="I56" i="57"/>
  <c r="I15" i="10"/>
  <c r="J15" i="10"/>
  <c r="I17" i="10"/>
  <c r="I18" i="10"/>
  <c r="J18" i="10"/>
  <c r="I19" i="10"/>
  <c r="J19" i="10"/>
  <c r="BE56" i="57"/>
  <c r="BD56" i="57"/>
  <c r="BC56" i="57"/>
  <c r="BB56" i="57"/>
  <c r="BA56" i="57"/>
  <c r="AY56" i="57"/>
  <c r="AW56" i="57"/>
  <c r="AV56" i="57"/>
  <c r="AU56" i="57"/>
  <c r="AS56" i="57"/>
  <c r="AR56" i="57"/>
  <c r="AQ56" i="57"/>
  <c r="AO56" i="57"/>
  <c r="AL56" i="57"/>
  <c r="AK56" i="57"/>
  <c r="AJ56" i="57"/>
  <c r="AI56" i="57"/>
  <c r="AH56" i="57"/>
  <c r="AD56" i="57"/>
  <c r="AC56" i="57"/>
  <c r="AB56" i="57"/>
  <c r="AA56" i="57"/>
  <c r="Z56" i="57"/>
  <c r="Y56" i="57"/>
  <c r="X56" i="57"/>
  <c r="W56" i="57"/>
  <c r="V56" i="57"/>
  <c r="U56" i="57"/>
  <c r="Q56" i="57"/>
  <c r="P56" i="57"/>
  <c r="O56" i="57"/>
  <c r="N56" i="57"/>
  <c r="M56" i="57"/>
  <c r="L56" i="57"/>
  <c r="K56" i="57"/>
  <c r="J56" i="57"/>
  <c r="H56" i="57"/>
  <c r="F56" i="57"/>
  <c r="E56" i="57"/>
  <c r="D56" i="57"/>
  <c r="C56" i="57"/>
  <c r="B56" i="57"/>
  <c r="BF55" i="57"/>
  <c r="AZ55" i="57"/>
  <c r="AT55" i="57"/>
  <c r="AM55" i="57"/>
  <c r="AF55" i="57"/>
  <c r="AE55" i="57"/>
  <c r="S55" i="57"/>
  <c r="R55" i="57"/>
  <c r="G55" i="57"/>
  <c r="BF54" i="57"/>
  <c r="AZ54" i="57"/>
  <c r="AT54" i="57"/>
  <c r="AM54" i="57"/>
  <c r="AF54" i="57"/>
  <c r="AE54" i="57"/>
  <c r="S54" i="57"/>
  <c r="R54" i="57"/>
  <c r="G54" i="57"/>
  <c r="BE50" i="57"/>
  <c r="BD50" i="57"/>
  <c r="BC50" i="57"/>
  <c r="BB50" i="57"/>
  <c r="BA50" i="57"/>
  <c r="AY50" i="57"/>
  <c r="AX50" i="57"/>
  <c r="AW50" i="57"/>
  <c r="AV50" i="57"/>
  <c r="AU50" i="57"/>
  <c r="AS50" i="57"/>
  <c r="AR50" i="57"/>
  <c r="AQ50" i="57"/>
  <c r="AP50" i="57"/>
  <c r="AO50" i="57"/>
  <c r="AL50" i="57"/>
  <c r="AK50" i="57"/>
  <c r="AJ50" i="57"/>
  <c r="AI50" i="57"/>
  <c r="AH50" i="57"/>
  <c r="AD50" i="57"/>
  <c r="AC50" i="57"/>
  <c r="AB50" i="57"/>
  <c r="AA50" i="57"/>
  <c r="Z50" i="57"/>
  <c r="Y50" i="57"/>
  <c r="X50" i="57"/>
  <c r="W50" i="57"/>
  <c r="V50" i="57"/>
  <c r="U50" i="57"/>
  <c r="Q50" i="57"/>
  <c r="P50" i="57"/>
  <c r="O50" i="57"/>
  <c r="N50" i="57"/>
  <c r="M50" i="57"/>
  <c r="L50" i="57"/>
  <c r="K50" i="57"/>
  <c r="J50" i="57"/>
  <c r="I50" i="57"/>
  <c r="H50" i="57"/>
  <c r="F50" i="57"/>
  <c r="F6" i="24" s="1"/>
  <c r="E50" i="57"/>
  <c r="F5" i="24" s="1"/>
  <c r="D50" i="57"/>
  <c r="F4" i="24" s="1"/>
  <c r="C50" i="57"/>
  <c r="F3" i="24" s="1"/>
  <c r="B50" i="57"/>
  <c r="F2" i="24" s="1"/>
  <c r="BF49" i="57"/>
  <c r="AZ49" i="57"/>
  <c r="AT49" i="57"/>
  <c r="AM49" i="57"/>
  <c r="AF49" i="57"/>
  <c r="AE49" i="57"/>
  <c r="S49" i="57"/>
  <c r="R49" i="57"/>
  <c r="G49" i="57"/>
  <c r="BF48" i="57"/>
  <c r="AZ48" i="57"/>
  <c r="AT48" i="57"/>
  <c r="AM48" i="57"/>
  <c r="AF48" i="57"/>
  <c r="AE48" i="57"/>
  <c r="S48" i="57"/>
  <c r="R48" i="57"/>
  <c r="G48" i="57"/>
  <c r="BF47" i="57"/>
  <c r="AZ47" i="57"/>
  <c r="AT47" i="57"/>
  <c r="AM47" i="57"/>
  <c r="AF47" i="57"/>
  <c r="AE47" i="57"/>
  <c r="S47" i="57"/>
  <c r="R47" i="57"/>
  <c r="G47" i="57"/>
  <c r="BF46" i="57"/>
  <c r="AZ46" i="57"/>
  <c r="AT46" i="57"/>
  <c r="AM46" i="57"/>
  <c r="AF46" i="57"/>
  <c r="AE46" i="57"/>
  <c r="S46" i="57"/>
  <c r="R46" i="57"/>
  <c r="G46" i="57"/>
  <c r="BF45" i="57"/>
  <c r="AZ45" i="57"/>
  <c r="AT45" i="57"/>
  <c r="AM45" i="57"/>
  <c r="AF45" i="57"/>
  <c r="AE45" i="57"/>
  <c r="S45" i="57"/>
  <c r="R45" i="57"/>
  <c r="G45" i="57"/>
  <c r="BF44" i="57"/>
  <c r="AZ44" i="57"/>
  <c r="AT44" i="57"/>
  <c r="AM44" i="57"/>
  <c r="AF44" i="57"/>
  <c r="AE44" i="57"/>
  <c r="S44" i="57"/>
  <c r="R44" i="57"/>
  <c r="G44" i="57"/>
  <c r="BF43" i="57"/>
  <c r="AZ43" i="57"/>
  <c r="AT43" i="57"/>
  <c r="AM43" i="57"/>
  <c r="AF43" i="57"/>
  <c r="AE43" i="57"/>
  <c r="S43" i="57"/>
  <c r="R43" i="57"/>
  <c r="G43" i="57"/>
  <c r="BF42" i="57"/>
  <c r="AZ42" i="57"/>
  <c r="AT42" i="57"/>
  <c r="AM42" i="57"/>
  <c r="AF42" i="57"/>
  <c r="AE42" i="57"/>
  <c r="S42" i="57"/>
  <c r="R42" i="57"/>
  <c r="G42" i="57"/>
  <c r="BF41" i="57"/>
  <c r="AZ41" i="57"/>
  <c r="AT41" i="57"/>
  <c r="AM41" i="57"/>
  <c r="AF41" i="57"/>
  <c r="AE41" i="57"/>
  <c r="S41" i="57"/>
  <c r="R41" i="57"/>
  <c r="G41" i="57"/>
  <c r="BF40" i="57"/>
  <c r="AZ40" i="57"/>
  <c r="AT40" i="57"/>
  <c r="AM40" i="57"/>
  <c r="AF40" i="57"/>
  <c r="AE40" i="57"/>
  <c r="S40" i="57"/>
  <c r="R40" i="57"/>
  <c r="G40" i="57"/>
  <c r="BF39" i="57"/>
  <c r="AZ39" i="57"/>
  <c r="AT39" i="57"/>
  <c r="AM39" i="57"/>
  <c r="AF39" i="57"/>
  <c r="AE39" i="57"/>
  <c r="S39" i="57"/>
  <c r="R39" i="57"/>
  <c r="G39" i="57"/>
  <c r="B5" i="15" s="1"/>
  <c r="BF38" i="57"/>
  <c r="AZ38" i="57"/>
  <c r="AT38" i="57"/>
  <c r="AM38" i="57"/>
  <c r="AF38" i="57"/>
  <c r="AE38" i="57"/>
  <c r="S38" i="57"/>
  <c r="R38" i="57"/>
  <c r="G38" i="57"/>
  <c r="BF37" i="57"/>
  <c r="AZ37" i="57"/>
  <c r="AT37" i="57"/>
  <c r="AM37" i="57"/>
  <c r="AF37" i="57"/>
  <c r="AE37" i="57"/>
  <c r="S37" i="57"/>
  <c r="R37" i="57"/>
  <c r="G37" i="57"/>
  <c r="BF36" i="57"/>
  <c r="AZ36" i="57"/>
  <c r="AT36" i="57"/>
  <c r="AM36" i="57"/>
  <c r="AF36" i="57"/>
  <c r="AE36" i="57"/>
  <c r="S36" i="57"/>
  <c r="R36" i="57"/>
  <c r="G36" i="57"/>
  <c r="BF35" i="57"/>
  <c r="AZ35" i="57"/>
  <c r="AT35" i="57"/>
  <c r="AM35" i="57"/>
  <c r="AF35" i="57"/>
  <c r="AE35" i="57"/>
  <c r="S35" i="57"/>
  <c r="R35" i="57"/>
  <c r="G35" i="57"/>
  <c r="BF34" i="57"/>
  <c r="AZ34" i="57"/>
  <c r="AT34" i="57"/>
  <c r="AM34" i="57"/>
  <c r="AF34" i="57"/>
  <c r="AE34" i="57"/>
  <c r="S34" i="57"/>
  <c r="R34" i="57"/>
  <c r="G34" i="57"/>
  <c r="BF33" i="57"/>
  <c r="AZ33" i="57"/>
  <c r="AT33" i="57"/>
  <c r="AM33" i="57"/>
  <c r="AF33" i="57"/>
  <c r="AE33" i="57"/>
  <c r="S33" i="57"/>
  <c r="R33" i="57"/>
  <c r="G33" i="57"/>
  <c r="B4" i="15" s="1"/>
  <c r="BF32" i="57"/>
  <c r="AZ32" i="57"/>
  <c r="AT32" i="57"/>
  <c r="AM32" i="57"/>
  <c r="AF32" i="57"/>
  <c r="AE32" i="57"/>
  <c r="S32" i="57"/>
  <c r="R32" i="57"/>
  <c r="G32" i="57"/>
  <c r="BE28" i="57"/>
  <c r="BD28" i="57"/>
  <c r="BC28" i="57"/>
  <c r="BB28" i="57"/>
  <c r="BA28" i="57"/>
  <c r="AY28" i="57"/>
  <c r="AX28" i="57"/>
  <c r="AW28" i="57"/>
  <c r="AV28" i="57"/>
  <c r="AU28" i="57"/>
  <c r="AS28" i="57"/>
  <c r="AR28" i="57"/>
  <c r="AQ28" i="57"/>
  <c r="AP28" i="57"/>
  <c r="AO28" i="57"/>
  <c r="AL28" i="57"/>
  <c r="AK28" i="57"/>
  <c r="AJ28" i="57"/>
  <c r="AI28" i="57"/>
  <c r="AH28" i="57"/>
  <c r="AD28" i="57"/>
  <c r="AC28" i="57"/>
  <c r="AB28" i="57"/>
  <c r="AA28" i="57"/>
  <c r="Z28" i="57"/>
  <c r="Y28" i="57"/>
  <c r="X28" i="57"/>
  <c r="W28" i="57"/>
  <c r="U28" i="57"/>
  <c r="Q28" i="57"/>
  <c r="P28" i="57"/>
  <c r="O28" i="57"/>
  <c r="N28" i="57"/>
  <c r="M28" i="57"/>
  <c r="L28" i="57"/>
  <c r="K28" i="57"/>
  <c r="J28" i="57"/>
  <c r="I28" i="57"/>
  <c r="H28" i="57"/>
  <c r="F28" i="57"/>
  <c r="F7" i="21" s="1"/>
  <c r="E28" i="57"/>
  <c r="F6" i="21" s="1"/>
  <c r="D28" i="57"/>
  <c r="F5" i="21" s="1"/>
  <c r="C28" i="57"/>
  <c r="F4" i="21" s="1"/>
  <c r="B28" i="57"/>
  <c r="F3" i="21" s="1"/>
  <c r="BF27" i="57"/>
  <c r="AZ27" i="57"/>
  <c r="AT27" i="57"/>
  <c r="AM27" i="57"/>
  <c r="AF27" i="57"/>
  <c r="AE27" i="57"/>
  <c r="S27" i="57"/>
  <c r="R27" i="57"/>
  <c r="G27" i="57"/>
  <c r="BF26" i="57"/>
  <c r="AZ26" i="57"/>
  <c r="AT26" i="57"/>
  <c r="AM26" i="57"/>
  <c r="AF26" i="57"/>
  <c r="AE26" i="57"/>
  <c r="S26" i="57"/>
  <c r="R26" i="57"/>
  <c r="G26" i="57"/>
  <c r="BF25" i="57"/>
  <c r="AZ25" i="57"/>
  <c r="AT25" i="57"/>
  <c r="AM25" i="57"/>
  <c r="AF25" i="57"/>
  <c r="AE25" i="57"/>
  <c r="S25" i="57"/>
  <c r="R25" i="57"/>
  <c r="G25" i="57"/>
  <c r="BF24" i="57"/>
  <c r="AZ24" i="57"/>
  <c r="AT24" i="57"/>
  <c r="AM24" i="57"/>
  <c r="AF24" i="57"/>
  <c r="AE24" i="57"/>
  <c r="S24" i="57"/>
  <c r="R24" i="57"/>
  <c r="G24" i="57"/>
  <c r="BF23" i="57"/>
  <c r="AZ23" i="57"/>
  <c r="AT23" i="57"/>
  <c r="AM23" i="57"/>
  <c r="AF23" i="57"/>
  <c r="AE23" i="57"/>
  <c r="S23" i="57"/>
  <c r="R23" i="57"/>
  <c r="G23" i="57"/>
  <c r="BF22" i="57"/>
  <c r="AZ22" i="57"/>
  <c r="AT22" i="57"/>
  <c r="AM22" i="57"/>
  <c r="AF22" i="57"/>
  <c r="AE22" i="57"/>
  <c r="S22" i="57"/>
  <c r="R22" i="57"/>
  <c r="G22" i="57"/>
  <c r="BF21" i="57"/>
  <c r="AZ21" i="57"/>
  <c r="AT21" i="57"/>
  <c r="AM21" i="57"/>
  <c r="AF21" i="57"/>
  <c r="AE21" i="57"/>
  <c r="S21" i="57"/>
  <c r="R21" i="57"/>
  <c r="G21" i="57"/>
  <c r="BF20" i="57"/>
  <c r="AZ20" i="57"/>
  <c r="AT20" i="57"/>
  <c r="AM20" i="57"/>
  <c r="AF20" i="57"/>
  <c r="AE20" i="57"/>
  <c r="S20" i="57"/>
  <c r="R20" i="57"/>
  <c r="G20" i="57"/>
  <c r="BF19" i="57"/>
  <c r="AZ19" i="57"/>
  <c r="AT19" i="57"/>
  <c r="AM19" i="57"/>
  <c r="AF19" i="57"/>
  <c r="AE19" i="57"/>
  <c r="S19" i="57"/>
  <c r="R19" i="57"/>
  <c r="G19" i="57"/>
  <c r="BF18" i="57"/>
  <c r="AZ18" i="57"/>
  <c r="AT18" i="57"/>
  <c r="AM18" i="57"/>
  <c r="AF18" i="57"/>
  <c r="AE18" i="57"/>
  <c r="S18" i="57"/>
  <c r="R18" i="57"/>
  <c r="G18" i="57"/>
  <c r="BF17" i="57"/>
  <c r="AZ17" i="57"/>
  <c r="AT17" i="57"/>
  <c r="AM17" i="57"/>
  <c r="AF17" i="57"/>
  <c r="AE17" i="57"/>
  <c r="S17" i="57"/>
  <c r="R17" i="57"/>
  <c r="G17" i="57"/>
  <c r="BE13" i="57"/>
  <c r="BD13" i="57"/>
  <c r="BC13" i="57"/>
  <c r="BB13" i="57"/>
  <c r="BA13" i="57"/>
  <c r="AY13" i="57"/>
  <c r="AX13" i="57"/>
  <c r="AW13" i="57"/>
  <c r="AV13" i="57"/>
  <c r="AS13" i="57"/>
  <c r="AR13" i="57"/>
  <c r="AQ13" i="57"/>
  <c r="AP13" i="57"/>
  <c r="AO13" i="57"/>
  <c r="AL13" i="57"/>
  <c r="AK13" i="57"/>
  <c r="AJ13" i="57"/>
  <c r="AI13" i="57"/>
  <c r="AH13" i="57"/>
  <c r="AD13" i="57"/>
  <c r="AC13" i="57"/>
  <c r="AB13" i="57"/>
  <c r="AA13" i="57"/>
  <c r="Z13" i="57"/>
  <c r="Y13" i="57"/>
  <c r="X13" i="57"/>
  <c r="W13" i="57"/>
  <c r="V13" i="57"/>
  <c r="U13" i="57"/>
  <c r="Q13" i="57"/>
  <c r="P13" i="57"/>
  <c r="O13" i="57"/>
  <c r="N13" i="57"/>
  <c r="M13" i="57"/>
  <c r="L13" i="57"/>
  <c r="K13" i="57"/>
  <c r="J13" i="57"/>
  <c r="I13" i="57"/>
  <c r="H13" i="57"/>
  <c r="F13" i="57"/>
  <c r="H7" i="18" s="1"/>
  <c r="E13" i="57"/>
  <c r="D13" i="57"/>
  <c r="C13" i="57"/>
  <c r="B13" i="57"/>
  <c r="BF12" i="57"/>
  <c r="AZ12" i="57"/>
  <c r="AT12" i="57"/>
  <c r="AM12" i="57"/>
  <c r="AF12" i="57"/>
  <c r="AE12" i="57"/>
  <c r="S12" i="57"/>
  <c r="R12" i="57"/>
  <c r="G12" i="57"/>
  <c r="BF11" i="57"/>
  <c r="AZ11" i="57"/>
  <c r="AT11" i="57"/>
  <c r="AM11" i="57"/>
  <c r="AF11" i="57"/>
  <c r="AE11" i="57"/>
  <c r="S11" i="57"/>
  <c r="R11" i="57"/>
  <c r="G11" i="57"/>
  <c r="BF10" i="57"/>
  <c r="AZ10" i="57"/>
  <c r="AT10" i="57"/>
  <c r="AM10" i="57"/>
  <c r="AF10" i="57"/>
  <c r="AE10" i="57"/>
  <c r="S10" i="57"/>
  <c r="R10" i="57"/>
  <c r="G10" i="57"/>
  <c r="BF9" i="57"/>
  <c r="AZ9" i="57"/>
  <c r="AT9" i="57"/>
  <c r="AM9" i="57"/>
  <c r="AF9" i="57"/>
  <c r="AE9" i="57"/>
  <c r="S9" i="57"/>
  <c r="R9" i="57"/>
  <c r="G9" i="57"/>
  <c r="BF8" i="57"/>
  <c r="AZ8" i="57"/>
  <c r="AT8" i="57"/>
  <c r="AM8" i="57"/>
  <c r="AF8" i="57"/>
  <c r="AE8" i="57"/>
  <c r="S8" i="57"/>
  <c r="R8" i="57"/>
  <c r="G8" i="57"/>
  <c r="B4" i="52"/>
  <c r="C4" i="52"/>
  <c r="D4" i="52"/>
  <c r="E4" i="52"/>
  <c r="F4" i="52"/>
  <c r="G4" i="52"/>
  <c r="H4" i="52"/>
  <c r="I4" i="52"/>
  <c r="B4" i="51"/>
  <c r="C4" i="51"/>
  <c r="D4" i="51"/>
  <c r="E4" i="51"/>
  <c r="F4" i="51"/>
  <c r="G4" i="51"/>
  <c r="H4" i="51"/>
  <c r="I4" i="51"/>
  <c r="AN11" i="57" l="1"/>
  <c r="M9" i="11" s="1"/>
  <c r="K59" i="57"/>
  <c r="C59" i="57"/>
  <c r="H4" i="18"/>
  <c r="AN54" i="57"/>
  <c r="M56" i="11" s="1"/>
  <c r="AB59" i="57"/>
  <c r="AA59" i="57"/>
  <c r="N59" i="57"/>
  <c r="E59" i="57"/>
  <c r="H6" i="18"/>
  <c r="AS59" i="57"/>
  <c r="AN48" i="57"/>
  <c r="M50" i="11" s="1"/>
  <c r="AF56" i="57"/>
  <c r="AE56" i="57"/>
  <c r="AG48" i="57"/>
  <c r="M50" i="9" s="1"/>
  <c r="T41" i="57"/>
  <c r="M44" i="10" s="1"/>
  <c r="T47" i="57"/>
  <c r="M49" i="10" s="1"/>
  <c r="AG55" i="57"/>
  <c r="M57" i="9" s="1"/>
  <c r="AN49" i="57"/>
  <c r="M51" i="11" s="1"/>
  <c r="T48" i="57"/>
  <c r="M50" i="10" s="1"/>
  <c r="AN40" i="57"/>
  <c r="M39" i="11" s="1"/>
  <c r="AN35" i="57"/>
  <c r="M34" i="11" s="1"/>
  <c r="B59" i="57"/>
  <c r="F7" i="24"/>
  <c r="AN32" i="57"/>
  <c r="M30" i="11" s="1"/>
  <c r="AN27" i="57"/>
  <c r="M25" i="11" s="1"/>
  <c r="AN18" i="57"/>
  <c r="M16" i="11" s="1"/>
  <c r="H3" i="18"/>
  <c r="BF50" i="57"/>
  <c r="BF13" i="57"/>
  <c r="AZ56" i="57"/>
  <c r="AV59" i="57"/>
  <c r="AT56" i="57"/>
  <c r="AG24" i="57"/>
  <c r="M22" i="9" s="1"/>
  <c r="AF28" i="57"/>
  <c r="AG11" i="57"/>
  <c r="M9" i="9" s="1"/>
  <c r="S56" i="57"/>
  <c r="M59" i="57"/>
  <c r="L59" i="57"/>
  <c r="S13" i="57"/>
  <c r="AN55" i="57"/>
  <c r="AN45" i="57"/>
  <c r="M46" i="11" s="1"/>
  <c r="AN44" i="57"/>
  <c r="M45" i="11" s="1"/>
  <c r="AN41" i="57"/>
  <c r="AG36" i="57"/>
  <c r="M35" i="9" s="1"/>
  <c r="AN36" i="57"/>
  <c r="M35" i="11" s="1"/>
  <c r="T35" i="57"/>
  <c r="M34" i="10" s="1"/>
  <c r="AG35" i="57"/>
  <c r="M34" i="9" s="1"/>
  <c r="AN24" i="57"/>
  <c r="M22" i="11" s="1"/>
  <c r="AN23" i="57"/>
  <c r="M21" i="11" s="1"/>
  <c r="AN22" i="57"/>
  <c r="M20" i="11" s="1"/>
  <c r="AG18" i="57"/>
  <c r="M16" i="9" s="1"/>
  <c r="D59" i="57"/>
  <c r="AN17" i="57"/>
  <c r="M15" i="11" s="1"/>
  <c r="AG10" i="57"/>
  <c r="M8" i="9" s="1"/>
  <c r="AN10" i="57"/>
  <c r="M8" i="11" s="1"/>
  <c r="T10" i="57"/>
  <c r="M8" i="10" s="1"/>
  <c r="H5" i="18"/>
  <c r="O59" i="57"/>
  <c r="T55" i="57"/>
  <c r="M57" i="10" s="1"/>
  <c r="P59" i="57"/>
  <c r="R50" i="57"/>
  <c r="S50" i="57"/>
  <c r="Q59" i="57"/>
  <c r="I59" i="57"/>
  <c r="S28" i="57"/>
  <c r="H59" i="57"/>
  <c r="AE28" i="57"/>
  <c r="AG27" i="57"/>
  <c r="M25" i="9" s="1"/>
  <c r="U59" i="57"/>
  <c r="V59" i="57"/>
  <c r="AF50" i="57"/>
  <c r="AG40" i="57"/>
  <c r="M39" i="9" s="1"/>
  <c r="AG44" i="57"/>
  <c r="M45" i="9" s="1"/>
  <c r="AC59" i="57"/>
  <c r="AD59" i="57"/>
  <c r="W59" i="57"/>
  <c r="X59" i="57"/>
  <c r="Y59" i="57"/>
  <c r="Z59" i="57"/>
  <c r="AO59" i="57"/>
  <c r="AH59" i="57"/>
  <c r="AJ59" i="57"/>
  <c r="AK59" i="57"/>
  <c r="AM50" i="57"/>
  <c r="AI59" i="57"/>
  <c r="AL59" i="57"/>
  <c r="AT28" i="57"/>
  <c r="AP59" i="57"/>
  <c r="AN21" i="57"/>
  <c r="M19" i="11" s="1"/>
  <c r="BF56" i="57"/>
  <c r="BA59" i="57"/>
  <c r="AW59" i="57"/>
  <c r="AX59" i="57"/>
  <c r="AY59" i="57"/>
  <c r="AZ50" i="57"/>
  <c r="BF28" i="57"/>
  <c r="AZ28" i="57"/>
  <c r="AU59" i="57"/>
  <c r="BB59" i="57"/>
  <c r="BC59" i="57"/>
  <c r="BD59" i="57"/>
  <c r="BE59" i="57"/>
  <c r="AZ13" i="57"/>
  <c r="AT13" i="57"/>
  <c r="AQ59" i="57"/>
  <c r="AR59" i="57"/>
  <c r="AM13" i="57"/>
  <c r="F4" i="19" s="1"/>
  <c r="J59" i="57"/>
  <c r="R13" i="57"/>
  <c r="T54" i="57"/>
  <c r="G56" i="57"/>
  <c r="B7" i="15" s="1"/>
  <c r="AG54" i="57"/>
  <c r="T43" i="57"/>
  <c r="M42" i="10" s="1"/>
  <c r="T34" i="57"/>
  <c r="M32" i="10" s="1"/>
  <c r="AG39" i="57"/>
  <c r="M38" i="9" s="1"/>
  <c r="T38" i="57"/>
  <c r="M37" i="10" s="1"/>
  <c r="AG43" i="57"/>
  <c r="M42" i="9" s="1"/>
  <c r="AN39" i="57"/>
  <c r="M38" i="11" s="1"/>
  <c r="T42" i="57"/>
  <c r="M41" i="10" s="1"/>
  <c r="T46" i="57"/>
  <c r="M48" i="10" s="1"/>
  <c r="AG47" i="57"/>
  <c r="M49" i="9" s="1"/>
  <c r="AG34" i="57"/>
  <c r="M32" i="9" s="1"/>
  <c r="AN43" i="57"/>
  <c r="M42" i="11" s="1"/>
  <c r="AN34" i="57"/>
  <c r="M32" i="11" s="1"/>
  <c r="T37" i="57"/>
  <c r="M36" i="10" s="1"/>
  <c r="AG38" i="57"/>
  <c r="M37" i="9" s="1"/>
  <c r="AG42" i="57"/>
  <c r="M41" i="9" s="1"/>
  <c r="AN47" i="57"/>
  <c r="M49" i="11" s="1"/>
  <c r="G50" i="57"/>
  <c r="AG33" i="57"/>
  <c r="M31" i="9" s="1"/>
  <c r="AN38" i="57"/>
  <c r="M37" i="11" s="1"/>
  <c r="AG46" i="57"/>
  <c r="M48" i="9" s="1"/>
  <c r="AG37" i="57"/>
  <c r="M36" i="9" s="1"/>
  <c r="AN42" i="57"/>
  <c r="M41" i="11" s="1"/>
  <c r="AN46" i="57"/>
  <c r="T49" i="57"/>
  <c r="M51" i="10" s="1"/>
  <c r="T36" i="57"/>
  <c r="M35" i="10" s="1"/>
  <c r="T40" i="57"/>
  <c r="M39" i="10" s="1"/>
  <c r="AG41" i="57"/>
  <c r="AG45" i="57"/>
  <c r="M46" i="9" s="1"/>
  <c r="AN37" i="57"/>
  <c r="M36" i="11" s="1"/>
  <c r="T44" i="57"/>
  <c r="M45" i="10" s="1"/>
  <c r="AG49" i="57"/>
  <c r="M51" i="9" s="1"/>
  <c r="T21" i="57"/>
  <c r="M19" i="10" s="1"/>
  <c r="AG21" i="57"/>
  <c r="M19" i="9" s="1"/>
  <c r="T26" i="57"/>
  <c r="M24" i="10" s="1"/>
  <c r="F59" i="57"/>
  <c r="AG26" i="57"/>
  <c r="M24" i="9" s="1"/>
  <c r="T20" i="57"/>
  <c r="M18" i="10" s="1"/>
  <c r="T25" i="57"/>
  <c r="M23" i="10" s="1"/>
  <c r="AG20" i="57"/>
  <c r="M18" i="9" s="1"/>
  <c r="AN26" i="57"/>
  <c r="M24" i="11" s="1"/>
  <c r="T19" i="57"/>
  <c r="M17" i="10" s="1"/>
  <c r="AG25" i="57"/>
  <c r="M23" i="9" s="1"/>
  <c r="AN20" i="57"/>
  <c r="M18" i="11" s="1"/>
  <c r="T24" i="57"/>
  <c r="M22" i="10" s="1"/>
  <c r="AG19" i="57"/>
  <c r="M17" i="9" s="1"/>
  <c r="T23" i="57"/>
  <c r="M21" i="10" s="1"/>
  <c r="AN25" i="57"/>
  <c r="M23" i="11" s="1"/>
  <c r="T18" i="57"/>
  <c r="M16" i="10" s="1"/>
  <c r="T17" i="57"/>
  <c r="M15" i="10" s="1"/>
  <c r="AN19" i="57"/>
  <c r="M17" i="11" s="1"/>
  <c r="T22" i="57"/>
  <c r="M20" i="10" s="1"/>
  <c r="AG23" i="57"/>
  <c r="M21" i="9" s="1"/>
  <c r="T27" i="57"/>
  <c r="M25" i="10" s="1"/>
  <c r="T9" i="57"/>
  <c r="M7" i="10" s="1"/>
  <c r="G13" i="57"/>
  <c r="AG9" i="57"/>
  <c r="M7" i="9" s="1"/>
  <c r="AN9" i="57"/>
  <c r="M7" i="11" s="1"/>
  <c r="T12" i="57"/>
  <c r="M10" i="10" s="1"/>
  <c r="AG8" i="57"/>
  <c r="M6" i="9" s="1"/>
  <c r="AG12" i="57"/>
  <c r="M10" i="9" s="1"/>
  <c r="T11" i="57"/>
  <c r="M9" i="10" s="1"/>
  <c r="AN12" i="57"/>
  <c r="M10" i="11" s="1"/>
  <c r="AN33" i="57"/>
  <c r="M31" i="11" s="1"/>
  <c r="AM28" i="57"/>
  <c r="F5" i="22" s="1"/>
  <c r="AG22" i="57"/>
  <c r="M20" i="9" s="1"/>
  <c r="T33" i="57"/>
  <c r="M31" i="10" s="1"/>
  <c r="T45" i="57"/>
  <c r="M46" i="10" s="1"/>
  <c r="AF13" i="57"/>
  <c r="AG32" i="57"/>
  <c r="M30" i="9" s="1"/>
  <c r="AG17" i="57"/>
  <c r="M15" i="9" s="1"/>
  <c r="T8" i="57"/>
  <c r="M6" i="10" s="1"/>
  <c r="AE13" i="57"/>
  <c r="T39" i="57"/>
  <c r="M38" i="10" s="1"/>
  <c r="AE50" i="57"/>
  <c r="AM56" i="57"/>
  <c r="AT50" i="57"/>
  <c r="R56" i="57"/>
  <c r="AN8" i="57"/>
  <c r="M6" i="11" s="1"/>
  <c r="G28" i="57"/>
  <c r="R28" i="57"/>
  <c r="T32" i="57"/>
  <c r="M30" i="10" s="1"/>
  <c r="B7" i="51"/>
  <c r="H3" i="54"/>
  <c r="G3" i="54"/>
  <c r="F3" i="54"/>
  <c r="E3" i="54"/>
  <c r="D3" i="54"/>
  <c r="C3" i="54"/>
  <c r="C3" i="53"/>
  <c r="D3" i="53"/>
  <c r="E3" i="53"/>
  <c r="F3" i="53"/>
  <c r="G3" i="53"/>
  <c r="H3" i="53"/>
  <c r="I6" i="54"/>
  <c r="H6" i="54"/>
  <c r="G6" i="54"/>
  <c r="F6" i="54"/>
  <c r="E6" i="54"/>
  <c r="D6" i="54"/>
  <c r="C6" i="54"/>
  <c r="I5" i="54"/>
  <c r="H5" i="54"/>
  <c r="G5" i="54"/>
  <c r="F5" i="54"/>
  <c r="E5" i="54"/>
  <c r="D5" i="54"/>
  <c r="C5" i="54"/>
  <c r="I4" i="54"/>
  <c r="H4" i="54"/>
  <c r="G4" i="54"/>
  <c r="F4" i="54"/>
  <c r="E4" i="54"/>
  <c r="D4" i="54"/>
  <c r="C4" i="54"/>
  <c r="I6" i="53"/>
  <c r="H6" i="53"/>
  <c r="G6" i="53"/>
  <c r="F6" i="53"/>
  <c r="E6" i="53"/>
  <c r="D6" i="53"/>
  <c r="C6" i="53"/>
  <c r="I5" i="53"/>
  <c r="H5" i="53"/>
  <c r="G5" i="53"/>
  <c r="F5" i="53"/>
  <c r="E5" i="53"/>
  <c r="D5" i="53"/>
  <c r="C5" i="53"/>
  <c r="I4" i="53"/>
  <c r="H4" i="53"/>
  <c r="G4" i="53"/>
  <c r="F4" i="53"/>
  <c r="E4" i="53"/>
  <c r="D4" i="53"/>
  <c r="C4" i="53"/>
  <c r="I5" i="52"/>
  <c r="I6" i="52"/>
  <c r="I7" i="52"/>
  <c r="I3" i="52"/>
  <c r="H5" i="52"/>
  <c r="H6" i="52"/>
  <c r="H7" i="52"/>
  <c r="H3" i="52"/>
  <c r="G5" i="52"/>
  <c r="G6" i="52"/>
  <c r="G7" i="52"/>
  <c r="G3" i="52"/>
  <c r="F5" i="52"/>
  <c r="F6" i="52"/>
  <c r="F7" i="52"/>
  <c r="F3" i="52"/>
  <c r="E6" i="52"/>
  <c r="E7" i="52"/>
  <c r="E5" i="52"/>
  <c r="E3" i="52"/>
  <c r="D7" i="52"/>
  <c r="D6" i="52"/>
  <c r="D5" i="52"/>
  <c r="D3" i="52"/>
  <c r="C7" i="52"/>
  <c r="C6" i="52"/>
  <c r="C5" i="52"/>
  <c r="C3" i="52"/>
  <c r="B7" i="52"/>
  <c r="B6" i="52"/>
  <c r="B5" i="52"/>
  <c r="B3" i="52"/>
  <c r="B6" i="51"/>
  <c r="C6" i="51"/>
  <c r="D6" i="51"/>
  <c r="E6" i="51"/>
  <c r="F6" i="51"/>
  <c r="G6" i="51"/>
  <c r="G5" i="51"/>
  <c r="F5" i="51"/>
  <c r="E5" i="51"/>
  <c r="D5" i="51"/>
  <c r="C5" i="51"/>
  <c r="B5" i="51"/>
  <c r="C7" i="51"/>
  <c r="D7" i="51"/>
  <c r="E7" i="51"/>
  <c r="F7" i="51"/>
  <c r="G7" i="51"/>
  <c r="H7" i="51"/>
  <c r="H6" i="51"/>
  <c r="H5" i="51"/>
  <c r="B3" i="51"/>
  <c r="C3" i="51"/>
  <c r="D3" i="51"/>
  <c r="E3" i="51"/>
  <c r="F3" i="51"/>
  <c r="G3" i="51"/>
  <c r="H3" i="51"/>
  <c r="I7" i="51"/>
  <c r="I6" i="51"/>
  <c r="I5" i="51"/>
  <c r="I3" i="51"/>
  <c r="AN56" i="57" l="1"/>
  <c r="M58" i="11" s="1"/>
  <c r="M57" i="11"/>
  <c r="L3" i="54"/>
  <c r="M56" i="9"/>
  <c r="L3" i="53"/>
  <c r="M56" i="10"/>
  <c r="M48" i="11"/>
  <c r="M44" i="11"/>
  <c r="F3" i="19"/>
  <c r="L3" i="51"/>
  <c r="AE29" i="57"/>
  <c r="D4" i="56" s="1"/>
  <c r="BF59" i="57"/>
  <c r="AZ59" i="57"/>
  <c r="AF59" i="57"/>
  <c r="F4" i="22"/>
  <c r="F3" i="22"/>
  <c r="S59" i="57"/>
  <c r="F2" i="19"/>
  <c r="AE57" i="57"/>
  <c r="D6" i="56" s="1"/>
  <c r="AG56" i="57"/>
  <c r="M58" i="9" s="1"/>
  <c r="M44" i="9"/>
  <c r="L3" i="52"/>
  <c r="R51" i="57"/>
  <c r="D5" i="55" s="1"/>
  <c r="L4" i="52"/>
  <c r="L4" i="51"/>
  <c r="K3" i="23"/>
  <c r="B6" i="15"/>
  <c r="AN50" i="57"/>
  <c r="M52" i="11" s="1"/>
  <c r="F8" i="21"/>
  <c r="B3" i="15"/>
  <c r="U2" i="20"/>
  <c r="AN28" i="57"/>
  <c r="M26" i="11" s="1"/>
  <c r="G59" i="57"/>
  <c r="U2" i="17"/>
  <c r="B2" i="15"/>
  <c r="H8" i="18"/>
  <c r="AN13" i="57"/>
  <c r="M11" i="11" s="1"/>
  <c r="AM59" i="57"/>
  <c r="T50" i="57"/>
  <c r="T13" i="57"/>
  <c r="R14" i="57"/>
  <c r="D3" i="55" s="1"/>
  <c r="R57" i="57"/>
  <c r="D6" i="55" s="1"/>
  <c r="T56" i="57"/>
  <c r="M58" i="10" s="1"/>
  <c r="AE51" i="57"/>
  <c r="D5" i="56" s="1"/>
  <c r="AG50" i="57"/>
  <c r="AT59" i="57"/>
  <c r="R59" i="57"/>
  <c r="AE14" i="57"/>
  <c r="D3" i="56" s="1"/>
  <c r="AG13" i="57"/>
  <c r="AE59" i="57"/>
  <c r="R29" i="57"/>
  <c r="D4" i="55" s="1"/>
  <c r="T28" i="57"/>
  <c r="AG28" i="57"/>
  <c r="AD37" i="38"/>
  <c r="AE37" i="38"/>
  <c r="AC37" i="38"/>
  <c r="AD25" i="38"/>
  <c r="AE25" i="38"/>
  <c r="AC25" i="38"/>
  <c r="AD11" i="38"/>
  <c r="AE11" i="38"/>
  <c r="AC11" i="38"/>
  <c r="Z37" i="38"/>
  <c r="Y37" i="38"/>
  <c r="X37" i="38"/>
  <c r="W37" i="38"/>
  <c r="V37" i="38"/>
  <c r="Z25" i="38"/>
  <c r="Y25" i="38"/>
  <c r="X25" i="38"/>
  <c r="W25" i="38"/>
  <c r="V25" i="38"/>
  <c r="Z11" i="38"/>
  <c r="Y11" i="38"/>
  <c r="X11" i="38"/>
  <c r="W11" i="38"/>
  <c r="V11" i="38"/>
  <c r="AD25" i="39"/>
  <c r="AE25" i="39"/>
  <c r="AC25" i="39"/>
  <c r="AD11" i="39"/>
  <c r="AE11" i="39"/>
  <c r="AC11" i="39"/>
  <c r="Z37" i="39"/>
  <c r="Y37" i="39"/>
  <c r="X37" i="39"/>
  <c r="W37" i="39"/>
  <c r="V37" i="39"/>
  <c r="Z25" i="39"/>
  <c r="Y25" i="39"/>
  <c r="X25" i="39"/>
  <c r="W25" i="39"/>
  <c r="V25" i="39"/>
  <c r="Z11" i="39"/>
  <c r="Y11" i="39"/>
  <c r="X11" i="39"/>
  <c r="W11" i="39"/>
  <c r="V11" i="39"/>
  <c r="AE37" i="40"/>
  <c r="AD37" i="40"/>
  <c r="AC37" i="40"/>
  <c r="AE25" i="40"/>
  <c r="AD25" i="40"/>
  <c r="AC25" i="40"/>
  <c r="AE11" i="40"/>
  <c r="AD11" i="40"/>
  <c r="AC11" i="40"/>
  <c r="Z37" i="40"/>
  <c r="Y37" i="40"/>
  <c r="X37" i="40"/>
  <c r="W37" i="40"/>
  <c r="V37" i="40"/>
  <c r="Z25" i="40"/>
  <c r="Y25" i="40"/>
  <c r="X25" i="40"/>
  <c r="W25" i="40"/>
  <c r="V25" i="40"/>
  <c r="Z11" i="40"/>
  <c r="Y11" i="40"/>
  <c r="X11" i="40"/>
  <c r="W11" i="40"/>
  <c r="V11" i="40"/>
  <c r="AD37" i="44"/>
  <c r="AE37" i="44"/>
  <c r="AC37" i="44"/>
  <c r="AD25" i="44"/>
  <c r="AE25" i="44"/>
  <c r="AC25" i="44"/>
  <c r="AD11" i="44"/>
  <c r="AE11" i="44"/>
  <c r="AC11" i="44"/>
  <c r="AA25" i="44"/>
  <c r="AA42" i="44"/>
  <c r="Z42" i="44"/>
  <c r="Y42" i="44"/>
  <c r="X42" i="44"/>
  <c r="W42" i="44"/>
  <c r="V42" i="44"/>
  <c r="AA37" i="44"/>
  <c r="Z37" i="44"/>
  <c r="Y37" i="44"/>
  <c r="X37" i="44"/>
  <c r="W37" i="44"/>
  <c r="V37" i="44"/>
  <c r="Z25" i="44"/>
  <c r="Y25" i="44"/>
  <c r="X25" i="44"/>
  <c r="W25" i="44"/>
  <c r="V25" i="44"/>
  <c r="Z11" i="44"/>
  <c r="Y11" i="44"/>
  <c r="X11" i="44"/>
  <c r="W11" i="44"/>
  <c r="V11" i="44"/>
  <c r="AA11" i="44" s="1"/>
  <c r="AC11" i="45"/>
  <c r="G44" i="49"/>
  <c r="F44" i="49"/>
  <c r="D44" i="49"/>
  <c r="C44" i="49"/>
  <c r="B44" i="49"/>
  <c r="E44" i="49" s="1"/>
  <c r="G44" i="48"/>
  <c r="F44" i="48"/>
  <c r="D44" i="48"/>
  <c r="C44" i="48"/>
  <c r="B44" i="48"/>
  <c r="E44" i="48" s="1"/>
  <c r="G44" i="47"/>
  <c r="F44" i="47"/>
  <c r="D44" i="47"/>
  <c r="C44" i="47"/>
  <c r="B44" i="47"/>
  <c r="E44" i="47" s="1"/>
  <c r="G44" i="46"/>
  <c r="F44" i="46"/>
  <c r="D44" i="46"/>
  <c r="C44" i="46"/>
  <c r="B44" i="46"/>
  <c r="E44" i="46" s="1"/>
  <c r="G44" i="45"/>
  <c r="F44" i="45"/>
  <c r="E44" i="45"/>
  <c r="D44" i="45"/>
  <c r="C44" i="45"/>
  <c r="B44" i="45"/>
  <c r="G43" i="44"/>
  <c r="F43" i="44"/>
  <c r="D43" i="44"/>
  <c r="C43" i="44"/>
  <c r="B43" i="44"/>
  <c r="E43" i="44" s="1"/>
  <c r="G43" i="40"/>
  <c r="F43" i="40"/>
  <c r="D43" i="40"/>
  <c r="C43" i="40"/>
  <c r="B43" i="40"/>
  <c r="E43" i="40" s="1"/>
  <c r="G43" i="39"/>
  <c r="F43" i="39"/>
  <c r="D43" i="39"/>
  <c r="E43" i="39" s="1"/>
  <c r="C43" i="39"/>
  <c r="B43" i="39"/>
  <c r="G43" i="38"/>
  <c r="F43" i="38"/>
  <c r="E43" i="38"/>
  <c r="D43" i="38"/>
  <c r="C43" i="38"/>
  <c r="B43" i="38"/>
  <c r="G43" i="25"/>
  <c r="F43" i="25"/>
  <c r="D43" i="25"/>
  <c r="C43" i="25"/>
  <c r="B43" i="25"/>
  <c r="E43" i="25" s="1"/>
  <c r="AA41" i="13"/>
  <c r="AB41" i="13" s="1"/>
  <c r="AA40" i="13"/>
  <c r="AA42" i="13" s="1"/>
  <c r="AA36" i="13"/>
  <c r="AB36" i="13" s="1"/>
  <c r="AA35" i="13"/>
  <c r="AB35" i="13" s="1"/>
  <c r="AA34" i="13"/>
  <c r="AB34" i="13" s="1"/>
  <c r="AA33" i="13"/>
  <c r="AB33" i="13" s="1"/>
  <c r="AA32" i="13"/>
  <c r="AB32" i="13" s="1"/>
  <c r="AA31" i="13"/>
  <c r="AB31" i="13" s="1"/>
  <c r="AA30" i="13"/>
  <c r="AB30" i="13" s="1"/>
  <c r="AA29" i="13"/>
  <c r="AB29" i="13" s="1"/>
  <c r="AA28" i="13"/>
  <c r="AA37" i="13" s="1"/>
  <c r="AB37" i="13" s="1"/>
  <c r="AA24" i="13"/>
  <c r="AB24" i="13" s="1"/>
  <c r="AA23" i="13"/>
  <c r="AB23" i="13" s="1"/>
  <c r="AA22" i="13"/>
  <c r="AB22" i="13" s="1"/>
  <c r="AA21" i="13"/>
  <c r="AB21" i="13" s="1"/>
  <c r="AA20" i="13"/>
  <c r="AB20" i="13" s="1"/>
  <c r="AA19" i="13"/>
  <c r="AB19" i="13" s="1"/>
  <c r="AA18" i="13"/>
  <c r="AB18" i="13" s="1"/>
  <c r="AA17" i="13"/>
  <c r="AB17" i="13" s="1"/>
  <c r="AA16" i="13"/>
  <c r="AA25" i="13" s="1"/>
  <c r="AB25" i="13" s="1"/>
  <c r="AA15" i="13"/>
  <c r="AB15" i="13" s="1"/>
  <c r="AA14" i="13"/>
  <c r="AB14" i="13" s="1"/>
  <c r="AA10" i="13"/>
  <c r="AB10" i="13" s="1"/>
  <c r="AA9" i="13"/>
  <c r="AB9" i="13" s="1"/>
  <c r="AA8" i="13"/>
  <c r="AB8" i="13" s="1"/>
  <c r="AA7" i="13"/>
  <c r="AB7" i="13" s="1"/>
  <c r="AA6" i="13"/>
  <c r="AA11" i="13" s="1"/>
  <c r="T41" i="13"/>
  <c r="U41" i="13" s="1"/>
  <c r="T40" i="13"/>
  <c r="T42" i="13" s="1"/>
  <c r="T36" i="13"/>
  <c r="U36" i="13" s="1"/>
  <c r="T35" i="13"/>
  <c r="U35" i="13" s="1"/>
  <c r="T34" i="13"/>
  <c r="U34" i="13" s="1"/>
  <c r="T33" i="13"/>
  <c r="U33" i="13" s="1"/>
  <c r="T32" i="13"/>
  <c r="U32" i="13" s="1"/>
  <c r="T31" i="13"/>
  <c r="U31" i="13" s="1"/>
  <c r="T30" i="13"/>
  <c r="U30" i="13" s="1"/>
  <c r="T29" i="13"/>
  <c r="U29" i="13" s="1"/>
  <c r="T28" i="13"/>
  <c r="T37" i="13" s="1"/>
  <c r="U37" i="13" s="1"/>
  <c r="T24" i="13"/>
  <c r="U24" i="13" s="1"/>
  <c r="T23" i="13"/>
  <c r="U23" i="13" s="1"/>
  <c r="T22" i="13"/>
  <c r="U22" i="13" s="1"/>
  <c r="T21" i="13"/>
  <c r="U21" i="13" s="1"/>
  <c r="T20" i="13"/>
  <c r="U20" i="13" s="1"/>
  <c r="T19" i="13"/>
  <c r="U19" i="13" s="1"/>
  <c r="T18" i="13"/>
  <c r="U18" i="13" s="1"/>
  <c r="T17" i="13"/>
  <c r="U17" i="13" s="1"/>
  <c r="T16" i="13"/>
  <c r="T25" i="13" s="1"/>
  <c r="U25" i="13" s="1"/>
  <c r="T15" i="13"/>
  <c r="U15" i="13" s="1"/>
  <c r="T14" i="13"/>
  <c r="U14" i="13" s="1"/>
  <c r="T10" i="13"/>
  <c r="U10" i="13" s="1"/>
  <c r="T9" i="13"/>
  <c r="U9" i="13" s="1"/>
  <c r="T8" i="13"/>
  <c r="U8" i="13" s="1"/>
  <c r="T7" i="13"/>
  <c r="U7" i="13" s="1"/>
  <c r="T6" i="13"/>
  <c r="T11" i="13" s="1"/>
  <c r="M41" i="13"/>
  <c r="N41" i="13" s="1"/>
  <c r="M40" i="13"/>
  <c r="M42" i="13" s="1"/>
  <c r="M36" i="13"/>
  <c r="N36" i="13" s="1"/>
  <c r="M35" i="13"/>
  <c r="N35" i="13" s="1"/>
  <c r="M34" i="13"/>
  <c r="N34" i="13" s="1"/>
  <c r="N33" i="13"/>
  <c r="M33" i="13"/>
  <c r="M32" i="13"/>
  <c r="N32" i="13" s="1"/>
  <c r="M31" i="13"/>
  <c r="N31" i="13" s="1"/>
  <c r="M30" i="13"/>
  <c r="N30" i="13" s="1"/>
  <c r="M29" i="13"/>
  <c r="N29" i="13" s="1"/>
  <c r="M28" i="13"/>
  <c r="N28" i="13" s="1"/>
  <c r="M24" i="13"/>
  <c r="N24" i="13" s="1"/>
  <c r="N23" i="13"/>
  <c r="M23" i="13"/>
  <c r="M22" i="13"/>
  <c r="N22" i="13" s="1"/>
  <c r="M21" i="13"/>
  <c r="N21" i="13" s="1"/>
  <c r="M20" i="13"/>
  <c r="N20" i="13" s="1"/>
  <c r="M19" i="13"/>
  <c r="N19" i="13" s="1"/>
  <c r="M18" i="13"/>
  <c r="N18" i="13" s="1"/>
  <c r="M17" i="13"/>
  <c r="N17" i="13" s="1"/>
  <c r="M16" i="13"/>
  <c r="M25" i="13" s="1"/>
  <c r="N25" i="13" s="1"/>
  <c r="N15" i="13"/>
  <c r="M15" i="13"/>
  <c r="M14" i="13"/>
  <c r="N14" i="13" s="1"/>
  <c r="M10" i="13"/>
  <c r="N10" i="13" s="1"/>
  <c r="M9" i="13"/>
  <c r="N9" i="13" s="1"/>
  <c r="M8" i="13"/>
  <c r="N8" i="13" s="1"/>
  <c r="M7" i="13"/>
  <c r="N7" i="13" s="1"/>
  <c r="M6" i="13"/>
  <c r="M11" i="13" s="1"/>
  <c r="G43" i="13"/>
  <c r="G41" i="13"/>
  <c r="G42" i="13" s="1"/>
  <c r="G40" i="13"/>
  <c r="G36" i="13"/>
  <c r="G35" i="13"/>
  <c r="G34" i="13"/>
  <c r="G33" i="13"/>
  <c r="G32" i="13"/>
  <c r="G37" i="13" s="1"/>
  <c r="G31" i="13"/>
  <c r="G30" i="13"/>
  <c r="G29" i="13"/>
  <c r="G28" i="13"/>
  <c r="G24" i="13"/>
  <c r="G23" i="13"/>
  <c r="G22" i="13"/>
  <c r="G21" i="13"/>
  <c r="G20" i="13"/>
  <c r="G19" i="13"/>
  <c r="G18" i="13"/>
  <c r="G17" i="13"/>
  <c r="G16" i="13"/>
  <c r="G15" i="13"/>
  <c r="G14" i="13"/>
  <c r="G25" i="13" s="1"/>
  <c r="G10" i="13"/>
  <c r="G9" i="13"/>
  <c r="G8" i="13"/>
  <c r="G7" i="13"/>
  <c r="G6" i="13"/>
  <c r="G11" i="13" s="1"/>
  <c r="AP37" i="13"/>
  <c r="AQ37" i="13"/>
  <c r="AR37" i="13"/>
  <c r="AS37" i="13"/>
  <c r="AO37" i="13"/>
  <c r="AJ37" i="13"/>
  <c r="AK37" i="13"/>
  <c r="AL37" i="13"/>
  <c r="AM37" i="13"/>
  <c r="AI37" i="13"/>
  <c r="AD37" i="13"/>
  <c r="AE37" i="13"/>
  <c r="AF37" i="13"/>
  <c r="AG37" i="13"/>
  <c r="AC37" i="13"/>
  <c r="AS42" i="13"/>
  <c r="AR42" i="13"/>
  <c r="AQ42" i="13"/>
  <c r="AP42" i="13"/>
  <c r="AO42" i="13"/>
  <c r="AM42" i="13"/>
  <c r="AL42" i="13"/>
  <c r="AK42" i="13"/>
  <c r="AJ42" i="13"/>
  <c r="AI42" i="13"/>
  <c r="AG42" i="13"/>
  <c r="AF42" i="13"/>
  <c r="AE42" i="13"/>
  <c r="AD42" i="13"/>
  <c r="AC42" i="13"/>
  <c r="AT41" i="13"/>
  <c r="AN41" i="13"/>
  <c r="AH41" i="13"/>
  <c r="AT40" i="13"/>
  <c r="AN40" i="13"/>
  <c r="AH40" i="13"/>
  <c r="AT36" i="13"/>
  <c r="AN36" i="13"/>
  <c r="AH36" i="13"/>
  <c r="AT35" i="13"/>
  <c r="AN35" i="13"/>
  <c r="AH35" i="13"/>
  <c r="AT34" i="13"/>
  <c r="AN34" i="13"/>
  <c r="AH34" i="13"/>
  <c r="AT33" i="13"/>
  <c r="AN33" i="13"/>
  <c r="AH33" i="13"/>
  <c r="AT32" i="13"/>
  <c r="AN32" i="13"/>
  <c r="AH32" i="13"/>
  <c r="AT31" i="13"/>
  <c r="AN31" i="13"/>
  <c r="AH31" i="13"/>
  <c r="AT30" i="13"/>
  <c r="AN30" i="13"/>
  <c r="AH30" i="13"/>
  <c r="AT29" i="13"/>
  <c r="AN29" i="13"/>
  <c r="AH29" i="13"/>
  <c r="AT28" i="13"/>
  <c r="AN28" i="13"/>
  <c r="AH28" i="13"/>
  <c r="AS25" i="13"/>
  <c r="AR25" i="13"/>
  <c r="AQ25" i="13"/>
  <c r="AP25" i="13"/>
  <c r="AO25" i="13"/>
  <c r="AM25" i="13"/>
  <c r="AL25" i="13"/>
  <c r="AK25" i="13"/>
  <c r="AJ25" i="13"/>
  <c r="AI25" i="13"/>
  <c r="AG25" i="13"/>
  <c r="AF25" i="13"/>
  <c r="AE25" i="13"/>
  <c r="AD25" i="13"/>
  <c r="AC25" i="13"/>
  <c r="AT24" i="13"/>
  <c r="AN24" i="13"/>
  <c r="AH24" i="13"/>
  <c r="AT23" i="13"/>
  <c r="AN23" i="13"/>
  <c r="AH23" i="13"/>
  <c r="AT22" i="13"/>
  <c r="AN22" i="13"/>
  <c r="AH22" i="13"/>
  <c r="AT21" i="13"/>
  <c r="AN21" i="13"/>
  <c r="AH21" i="13"/>
  <c r="AT20" i="13"/>
  <c r="AN20" i="13"/>
  <c r="AH20" i="13"/>
  <c r="AT19" i="13"/>
  <c r="AN19" i="13"/>
  <c r="AH19" i="13"/>
  <c r="AT18" i="13"/>
  <c r="AN18" i="13"/>
  <c r="AH18" i="13"/>
  <c r="AT17" i="13"/>
  <c r="AN17" i="13"/>
  <c r="AH17" i="13"/>
  <c r="AT16" i="13"/>
  <c r="AN16" i="13"/>
  <c r="AH16" i="13"/>
  <c r="AT15" i="13"/>
  <c r="AN15" i="13"/>
  <c r="AH15" i="13"/>
  <c r="AT14" i="13"/>
  <c r="AN14" i="13"/>
  <c r="AH14" i="13"/>
  <c r="AS11" i="13"/>
  <c r="AR11" i="13"/>
  <c r="AQ11" i="13"/>
  <c r="AP11" i="13"/>
  <c r="AO11" i="13"/>
  <c r="AM11" i="13"/>
  <c r="AL11" i="13"/>
  <c r="AK11" i="13"/>
  <c r="AJ11" i="13"/>
  <c r="AI11" i="13"/>
  <c r="AG11" i="13"/>
  <c r="AF11" i="13"/>
  <c r="AE11" i="13"/>
  <c r="AD11" i="13"/>
  <c r="AC11" i="13"/>
  <c r="AT10" i="13"/>
  <c r="AN10" i="13"/>
  <c r="AH10" i="13"/>
  <c r="AT9" i="13"/>
  <c r="AN9" i="13"/>
  <c r="AH9" i="13"/>
  <c r="AT8" i="13"/>
  <c r="AN8" i="13"/>
  <c r="AH8" i="13"/>
  <c r="AT7" i="13"/>
  <c r="AN7" i="13"/>
  <c r="AH7" i="13"/>
  <c r="AT6" i="13"/>
  <c r="AN6" i="13"/>
  <c r="AH6" i="13"/>
  <c r="B30" i="34"/>
  <c r="AO25" i="34"/>
  <c r="L6" i="54" l="1"/>
  <c r="L7" i="52"/>
  <c r="M52" i="9"/>
  <c r="L7" i="51"/>
  <c r="L6" i="53"/>
  <c r="M52" i="10"/>
  <c r="L5" i="54"/>
  <c r="L6" i="52"/>
  <c r="M26" i="9"/>
  <c r="L5" i="53"/>
  <c r="M26" i="10"/>
  <c r="L6" i="51"/>
  <c r="AN59" i="57"/>
  <c r="L5" i="52"/>
  <c r="L4" i="54"/>
  <c r="M11" i="9"/>
  <c r="L5" i="51"/>
  <c r="M11" i="10"/>
  <c r="L4" i="53"/>
  <c r="AE60" i="57"/>
  <c r="AG59" i="57"/>
  <c r="R60" i="57"/>
  <c r="T59" i="57"/>
  <c r="AA43" i="13"/>
  <c r="AB43" i="13" s="1"/>
  <c r="AB11" i="13"/>
  <c r="AB6" i="13"/>
  <c r="AB28" i="13"/>
  <c r="AB40" i="13"/>
  <c r="AB42" i="13" s="1"/>
  <c r="AB16" i="13"/>
  <c r="U11" i="13"/>
  <c r="T43" i="13"/>
  <c r="U43" i="13" s="1"/>
  <c r="U40" i="13"/>
  <c r="U42" i="13" s="1"/>
  <c r="U16" i="13"/>
  <c r="U28" i="13"/>
  <c r="U6" i="13"/>
  <c r="M43" i="13"/>
  <c r="N43" i="13" s="1"/>
  <c r="N11" i="13"/>
  <c r="N6" i="13"/>
  <c r="M37" i="13"/>
  <c r="N37" i="13" s="1"/>
  <c r="N40" i="13"/>
  <c r="N42" i="13" s="1"/>
  <c r="N16" i="13"/>
  <c r="AN42" i="13"/>
  <c r="AN37" i="13"/>
  <c r="AT37" i="13"/>
  <c r="AE43" i="13"/>
  <c r="AH42" i="13"/>
  <c r="AH37" i="13"/>
  <c r="AT42" i="13"/>
  <c r="AH11" i="13"/>
  <c r="AH25" i="13"/>
  <c r="AT25" i="13"/>
  <c r="AN25" i="13"/>
  <c r="AN11" i="13"/>
  <c r="AT11" i="13"/>
  <c r="AH13" i="50"/>
  <c r="V56" i="50"/>
  <c r="W56" i="50"/>
  <c r="X56" i="50"/>
  <c r="Y56" i="50"/>
  <c r="Z56" i="50"/>
  <c r="AA56" i="50"/>
  <c r="AB56" i="50"/>
  <c r="AC56" i="50"/>
  <c r="AD56" i="50"/>
  <c r="AE55" i="50"/>
  <c r="AF55" i="50"/>
  <c r="AF54" i="50"/>
  <c r="AE54" i="50"/>
  <c r="V50" i="50"/>
  <c r="W50" i="50"/>
  <c r="X50" i="50"/>
  <c r="Y50" i="50"/>
  <c r="Z50" i="50"/>
  <c r="AA50" i="50"/>
  <c r="AB50" i="50"/>
  <c r="AC50" i="50"/>
  <c r="AD50" i="50"/>
  <c r="AE33" i="50"/>
  <c r="AF33" i="50"/>
  <c r="AE34" i="50"/>
  <c r="AF34" i="50"/>
  <c r="AE35" i="50"/>
  <c r="AF35" i="50"/>
  <c r="AE36" i="50"/>
  <c r="AF36" i="50"/>
  <c r="AE37" i="50"/>
  <c r="AF37" i="50"/>
  <c r="AE38" i="50"/>
  <c r="AF38" i="50"/>
  <c r="AE39" i="50"/>
  <c r="AF39" i="50"/>
  <c r="AE40" i="50"/>
  <c r="AF40" i="50"/>
  <c r="AE41" i="50"/>
  <c r="AF41" i="50"/>
  <c r="AE42" i="50"/>
  <c r="AF42" i="50"/>
  <c r="AE43" i="50"/>
  <c r="AF43" i="50"/>
  <c r="AE44" i="50"/>
  <c r="AF44" i="50"/>
  <c r="AE45" i="50"/>
  <c r="AF45" i="50"/>
  <c r="AE46" i="50"/>
  <c r="AF46" i="50"/>
  <c r="AE47" i="50"/>
  <c r="AF47" i="50"/>
  <c r="AE48" i="50"/>
  <c r="AF48" i="50"/>
  <c r="AE49" i="50"/>
  <c r="AF49" i="50"/>
  <c r="AF32" i="50"/>
  <c r="AE32" i="50"/>
  <c r="V28" i="50"/>
  <c r="W28" i="50"/>
  <c r="X28" i="50"/>
  <c r="Y28" i="50"/>
  <c r="Z28" i="50"/>
  <c r="AA28" i="50"/>
  <c r="AB28" i="50"/>
  <c r="AC28" i="50"/>
  <c r="AD28" i="50"/>
  <c r="AE18" i="50"/>
  <c r="AF18" i="50"/>
  <c r="AE19" i="50"/>
  <c r="AF19" i="50"/>
  <c r="AE20" i="50"/>
  <c r="AF20" i="50"/>
  <c r="AE21" i="50"/>
  <c r="AF21" i="50"/>
  <c r="AE22" i="50"/>
  <c r="AF22" i="50"/>
  <c r="AE23" i="50"/>
  <c r="AF23" i="50"/>
  <c r="AE24" i="50"/>
  <c r="AF24" i="50"/>
  <c r="AE25" i="50"/>
  <c r="AF25" i="50"/>
  <c r="AE26" i="50"/>
  <c r="AF26" i="50"/>
  <c r="AE27" i="50"/>
  <c r="AF27" i="50"/>
  <c r="AF17" i="50"/>
  <c r="AE17" i="50"/>
  <c r="V13" i="50"/>
  <c r="W13" i="50"/>
  <c r="X13" i="50"/>
  <c r="Y13" i="50"/>
  <c r="Z13" i="50"/>
  <c r="AA13" i="50"/>
  <c r="AB13" i="50"/>
  <c r="AC13" i="50"/>
  <c r="AD13" i="50"/>
  <c r="R55" i="50"/>
  <c r="S55" i="50"/>
  <c r="S54" i="50"/>
  <c r="R54" i="50"/>
  <c r="J56" i="50"/>
  <c r="K56" i="50"/>
  <c r="L56" i="50"/>
  <c r="M56" i="50"/>
  <c r="N56" i="50"/>
  <c r="O56" i="50"/>
  <c r="P56" i="50"/>
  <c r="Q56" i="50"/>
  <c r="I50" i="50"/>
  <c r="J50" i="50"/>
  <c r="K50" i="50"/>
  <c r="L50" i="50"/>
  <c r="M50" i="50"/>
  <c r="N50" i="50"/>
  <c r="O50" i="50"/>
  <c r="P50" i="50"/>
  <c r="Q50" i="50"/>
  <c r="R33" i="50"/>
  <c r="S33" i="50"/>
  <c r="R34" i="50"/>
  <c r="S34" i="50"/>
  <c r="R35" i="50"/>
  <c r="S35" i="50"/>
  <c r="R36" i="50"/>
  <c r="S36" i="50"/>
  <c r="R37" i="50"/>
  <c r="S37" i="50"/>
  <c r="R38" i="50"/>
  <c r="S38" i="50"/>
  <c r="R39" i="50"/>
  <c r="S39" i="50"/>
  <c r="R40" i="50"/>
  <c r="S40" i="50"/>
  <c r="R41" i="50"/>
  <c r="S41" i="50"/>
  <c r="R42" i="50"/>
  <c r="S42" i="50"/>
  <c r="R43" i="50"/>
  <c r="S43" i="50"/>
  <c r="R44" i="50"/>
  <c r="S44" i="50"/>
  <c r="R45" i="50"/>
  <c r="S45" i="50"/>
  <c r="R46" i="50"/>
  <c r="S46" i="50"/>
  <c r="R47" i="50"/>
  <c r="S47" i="50"/>
  <c r="R48" i="50"/>
  <c r="S48" i="50"/>
  <c r="R49" i="50"/>
  <c r="S49" i="50"/>
  <c r="S32" i="50"/>
  <c r="R32" i="50"/>
  <c r="R17" i="50"/>
  <c r="R18" i="50"/>
  <c r="S18" i="50"/>
  <c r="R19" i="50"/>
  <c r="S19" i="50"/>
  <c r="R20" i="50"/>
  <c r="S20" i="50"/>
  <c r="R21" i="50"/>
  <c r="S21" i="50"/>
  <c r="R22" i="50"/>
  <c r="S22" i="50"/>
  <c r="R23" i="50"/>
  <c r="S23" i="50"/>
  <c r="R24" i="50"/>
  <c r="S24" i="50"/>
  <c r="R25" i="50"/>
  <c r="S25" i="50"/>
  <c r="R26" i="50"/>
  <c r="S26" i="50"/>
  <c r="R27" i="50"/>
  <c r="S27" i="50"/>
  <c r="I28" i="50"/>
  <c r="J28" i="50"/>
  <c r="K28" i="50"/>
  <c r="L28" i="50"/>
  <c r="M28" i="50"/>
  <c r="N28" i="50"/>
  <c r="O28" i="50"/>
  <c r="P28" i="50"/>
  <c r="Q28" i="50"/>
  <c r="S17" i="50"/>
  <c r="AE9" i="50"/>
  <c r="AF9" i="50"/>
  <c r="AE10" i="50"/>
  <c r="AF10" i="50"/>
  <c r="AE11" i="50"/>
  <c r="AF11" i="50"/>
  <c r="AE12" i="50"/>
  <c r="AF12" i="50"/>
  <c r="AF8" i="50"/>
  <c r="AE8" i="50"/>
  <c r="R9" i="50"/>
  <c r="S9" i="50"/>
  <c r="R10" i="50"/>
  <c r="S10" i="50"/>
  <c r="R11" i="50"/>
  <c r="S11" i="50"/>
  <c r="R12" i="50"/>
  <c r="S12" i="50"/>
  <c r="S8" i="50"/>
  <c r="R8" i="50"/>
  <c r="I13" i="50"/>
  <c r="J13" i="50"/>
  <c r="K13" i="50"/>
  <c r="L13" i="50"/>
  <c r="M13" i="50"/>
  <c r="N13" i="50"/>
  <c r="O13" i="50"/>
  <c r="P13" i="50"/>
  <c r="Q13" i="50"/>
  <c r="C50" i="50"/>
  <c r="E3" i="24" s="1"/>
  <c r="BF33" i="50"/>
  <c r="BF34" i="50"/>
  <c r="BF35" i="50"/>
  <c r="BF36" i="50"/>
  <c r="BF37" i="50"/>
  <c r="BF38" i="50"/>
  <c r="BF39" i="50"/>
  <c r="BF40" i="50"/>
  <c r="BF41" i="50"/>
  <c r="AZ33" i="50"/>
  <c r="AZ34" i="50"/>
  <c r="AZ35" i="50"/>
  <c r="AZ36" i="50"/>
  <c r="AZ37" i="50"/>
  <c r="AZ38" i="50"/>
  <c r="AZ39" i="50"/>
  <c r="AZ40" i="50"/>
  <c r="AZ41" i="50"/>
  <c r="AZ42" i="50"/>
  <c r="AZ43" i="50"/>
  <c r="AZ44" i="50"/>
  <c r="AZ45" i="50"/>
  <c r="AZ46" i="50"/>
  <c r="AT33" i="50"/>
  <c r="AT34" i="50"/>
  <c r="AT35" i="50"/>
  <c r="AT36" i="50"/>
  <c r="AT37" i="50"/>
  <c r="AT38" i="50"/>
  <c r="AT39" i="50"/>
  <c r="AT40" i="50"/>
  <c r="AT41" i="50"/>
  <c r="AT42" i="50"/>
  <c r="AM33" i="50"/>
  <c r="AM34" i="50"/>
  <c r="AM35" i="50"/>
  <c r="AM36" i="50"/>
  <c r="AM37" i="50"/>
  <c r="AM38" i="50"/>
  <c r="AM39" i="50"/>
  <c r="AM40" i="50"/>
  <c r="AM41" i="50"/>
  <c r="AM42" i="50"/>
  <c r="AM43" i="50"/>
  <c r="AM44" i="50"/>
  <c r="AM45" i="50"/>
  <c r="G33" i="50"/>
  <c r="G34" i="50"/>
  <c r="G35" i="50"/>
  <c r="G36" i="50"/>
  <c r="G37" i="50"/>
  <c r="G38" i="50"/>
  <c r="G39" i="50"/>
  <c r="G40" i="50"/>
  <c r="G41" i="50"/>
  <c r="G42" i="50"/>
  <c r="G43" i="50"/>
  <c r="G44" i="50"/>
  <c r="G20" i="50"/>
  <c r="G21" i="50"/>
  <c r="G22" i="50"/>
  <c r="G23" i="50"/>
  <c r="G24" i="50"/>
  <c r="G25" i="50"/>
  <c r="G26" i="50"/>
  <c r="AM20" i="50"/>
  <c r="AM21" i="50"/>
  <c r="AM22" i="50"/>
  <c r="AM23" i="50"/>
  <c r="AM24" i="50"/>
  <c r="AM25" i="50"/>
  <c r="AM26" i="50"/>
  <c r="AM27" i="50"/>
  <c r="AT20" i="50"/>
  <c r="AT21" i="50"/>
  <c r="AT22" i="50"/>
  <c r="AT23" i="50"/>
  <c r="AT24" i="50"/>
  <c r="AT25" i="50"/>
  <c r="AT26" i="50"/>
  <c r="AT27" i="50"/>
  <c r="AZ20" i="50"/>
  <c r="AZ21" i="50"/>
  <c r="AZ22" i="50"/>
  <c r="AZ23" i="50"/>
  <c r="AZ24" i="50"/>
  <c r="AZ25" i="50"/>
  <c r="AZ26" i="50"/>
  <c r="AZ27" i="50"/>
  <c r="BF20" i="50"/>
  <c r="BF21" i="50"/>
  <c r="BF22" i="50"/>
  <c r="BF23" i="50"/>
  <c r="BF24" i="50"/>
  <c r="BF25" i="50"/>
  <c r="BF26" i="50"/>
  <c r="BF27" i="50"/>
  <c r="AG38" i="50" l="1"/>
  <c r="L37" i="9" s="1"/>
  <c r="C37" i="9" s="1"/>
  <c r="AG37" i="50"/>
  <c r="L36" i="9" s="1"/>
  <c r="AG33" i="50"/>
  <c r="L31" i="9" s="1"/>
  <c r="C31" i="9" s="1"/>
  <c r="T21" i="50"/>
  <c r="L19" i="10" s="1"/>
  <c r="AG35" i="50"/>
  <c r="L34" i="9" s="1"/>
  <c r="C34" i="9" s="1"/>
  <c r="AG25" i="50"/>
  <c r="L23" i="9" s="1"/>
  <c r="T38" i="50"/>
  <c r="L37" i="10" s="1"/>
  <c r="C37" i="10" s="1"/>
  <c r="T40" i="50"/>
  <c r="L39" i="10" s="1"/>
  <c r="T34" i="50"/>
  <c r="L32" i="10" s="1"/>
  <c r="C32" i="10" s="1"/>
  <c r="T33" i="50"/>
  <c r="L31" i="10" s="1"/>
  <c r="C31" i="10" s="1"/>
  <c r="AG23" i="50"/>
  <c r="L21" i="9" s="1"/>
  <c r="AG43" i="50"/>
  <c r="L42" i="9" s="1"/>
  <c r="C42" i="9" s="1"/>
  <c r="T36" i="50"/>
  <c r="L35" i="10" s="1"/>
  <c r="C35" i="10" s="1"/>
  <c r="T26" i="50"/>
  <c r="L24" i="10" s="1"/>
  <c r="AG42" i="50"/>
  <c r="L41" i="9" s="1"/>
  <c r="C41" i="9" s="1"/>
  <c r="AG36" i="50"/>
  <c r="L35" i="9" s="1"/>
  <c r="C35" i="9" s="1"/>
  <c r="T35" i="50"/>
  <c r="L34" i="10" s="1"/>
  <c r="C34" i="10" s="1"/>
  <c r="AG22" i="50"/>
  <c r="L20" i="9" s="1"/>
  <c r="T25" i="50"/>
  <c r="L23" i="10" s="1"/>
  <c r="AG41" i="50"/>
  <c r="K3" i="52" s="1"/>
  <c r="AG44" i="50"/>
  <c r="L45" i="9" s="1"/>
  <c r="C45" i="9" s="1"/>
  <c r="T24" i="50"/>
  <c r="L22" i="10" s="1"/>
  <c r="AG34" i="50"/>
  <c r="L32" i="9" s="1"/>
  <c r="C32" i="9" s="1"/>
  <c r="AG20" i="50"/>
  <c r="L18" i="9" s="1"/>
  <c r="T37" i="50"/>
  <c r="L36" i="10" s="1"/>
  <c r="AG24" i="50"/>
  <c r="L22" i="9" s="1"/>
  <c r="AG40" i="50"/>
  <c r="L39" i="9" s="1"/>
  <c r="AG26" i="50"/>
  <c r="L24" i="9" s="1"/>
  <c r="AG39" i="50"/>
  <c r="L38" i="9" s="1"/>
  <c r="T23" i="50"/>
  <c r="L21" i="10" s="1"/>
  <c r="T44" i="50"/>
  <c r="L45" i="10" s="1"/>
  <c r="C45" i="10" s="1"/>
  <c r="T22" i="50"/>
  <c r="L20" i="10" s="1"/>
  <c r="T43" i="50"/>
  <c r="L42" i="10" s="1"/>
  <c r="C42" i="10" s="1"/>
  <c r="T42" i="50"/>
  <c r="L41" i="10" s="1"/>
  <c r="C41" i="10" s="1"/>
  <c r="AG21" i="50"/>
  <c r="L19" i="9" s="1"/>
  <c r="T20" i="50"/>
  <c r="L18" i="10" s="1"/>
  <c r="T41" i="50"/>
  <c r="K3" i="51" s="1"/>
  <c r="T39" i="50"/>
  <c r="L38" i="10" s="1"/>
  <c r="AD59" i="50"/>
  <c r="AC59" i="50"/>
  <c r="Q59" i="50"/>
  <c r="P59" i="50"/>
  <c r="AB59" i="50"/>
  <c r="AA59" i="50"/>
  <c r="O59" i="50"/>
  <c r="N59" i="50"/>
  <c r="Y59" i="50"/>
  <c r="Z59" i="50"/>
  <c r="M59" i="50"/>
  <c r="L59" i="50"/>
  <c r="AF56" i="50"/>
  <c r="W59" i="50"/>
  <c r="X59" i="50"/>
  <c r="K59" i="50"/>
  <c r="J59" i="50"/>
  <c r="AN39" i="50"/>
  <c r="L38" i="11" s="1"/>
  <c r="AN38" i="50"/>
  <c r="L37" i="11" s="1"/>
  <c r="C37" i="11" s="1"/>
  <c r="AN37" i="50"/>
  <c r="L36" i="11" s="1"/>
  <c r="AN34" i="50"/>
  <c r="L32" i="11" s="1"/>
  <c r="C32" i="11" s="1"/>
  <c r="AF50" i="50"/>
  <c r="V59" i="50"/>
  <c r="AF28" i="50"/>
  <c r="AF13" i="50"/>
  <c r="AE13" i="50"/>
  <c r="S56" i="50"/>
  <c r="S50" i="50"/>
  <c r="I59" i="50"/>
  <c r="S28" i="50"/>
  <c r="S13" i="50"/>
  <c r="AN33" i="50"/>
  <c r="L31" i="11" s="1"/>
  <c r="C31" i="11" s="1"/>
  <c r="AN35" i="50"/>
  <c r="L34" i="11" s="1"/>
  <c r="C34" i="11" s="1"/>
  <c r="AN41" i="50"/>
  <c r="AN40" i="50"/>
  <c r="L39" i="11" s="1"/>
  <c r="AN42" i="50"/>
  <c r="L41" i="11" s="1"/>
  <c r="C41" i="11" s="1"/>
  <c r="AN36" i="50"/>
  <c r="L35" i="11" s="1"/>
  <c r="C35" i="11" s="1"/>
  <c r="AN44" i="50"/>
  <c r="L45" i="11" s="1"/>
  <c r="C45" i="11" s="1"/>
  <c r="AN43" i="50"/>
  <c r="L42" i="11" s="1"/>
  <c r="C42" i="11" s="1"/>
  <c r="AN20" i="50"/>
  <c r="L18" i="11" s="1"/>
  <c r="AN25" i="50"/>
  <c r="L23" i="11" s="1"/>
  <c r="AN24" i="50"/>
  <c r="L22" i="11" s="1"/>
  <c r="AN23" i="50"/>
  <c r="L21" i="11" s="1"/>
  <c r="AN22" i="50"/>
  <c r="L20" i="11" s="1"/>
  <c r="AN26" i="50"/>
  <c r="L24" i="11" s="1"/>
  <c r="AN21" i="50"/>
  <c r="L19" i="11" s="1"/>
  <c r="BE56" i="50"/>
  <c r="BD56" i="50"/>
  <c r="BC56" i="50"/>
  <c r="BB56" i="50"/>
  <c r="AY56" i="50"/>
  <c r="AX56" i="50"/>
  <c r="AW56" i="50"/>
  <c r="AV56" i="50"/>
  <c r="AS56" i="50"/>
  <c r="AR56" i="50"/>
  <c r="AQ56" i="50"/>
  <c r="AP56" i="50"/>
  <c r="AL56" i="50"/>
  <c r="AK56" i="50"/>
  <c r="AJ56" i="50"/>
  <c r="AI56" i="50"/>
  <c r="F56" i="50"/>
  <c r="E56" i="50"/>
  <c r="D56" i="50"/>
  <c r="C56" i="50"/>
  <c r="BF55" i="50"/>
  <c r="AU56" i="50"/>
  <c r="AT55" i="50"/>
  <c r="AH56" i="50"/>
  <c r="G55" i="50"/>
  <c r="BF54" i="50"/>
  <c r="AZ54" i="50"/>
  <c r="AM54" i="50"/>
  <c r="G54" i="50"/>
  <c r="BD50" i="50"/>
  <c r="BC50" i="50"/>
  <c r="BB50" i="50"/>
  <c r="AY50" i="50"/>
  <c r="AX50" i="50"/>
  <c r="AW50" i="50"/>
  <c r="AV50" i="50"/>
  <c r="AR50" i="50"/>
  <c r="AQ50" i="50"/>
  <c r="AP50" i="50"/>
  <c r="AL50" i="50"/>
  <c r="AK50" i="50"/>
  <c r="AJ50" i="50"/>
  <c r="AI50" i="50"/>
  <c r="E50" i="50"/>
  <c r="E5" i="24" s="1"/>
  <c r="D50" i="50"/>
  <c r="E4" i="24" s="1"/>
  <c r="BE50" i="50"/>
  <c r="BF49" i="50"/>
  <c r="AZ49" i="50"/>
  <c r="AS50" i="50"/>
  <c r="AM49" i="50"/>
  <c r="F50" i="50"/>
  <c r="E6" i="24" s="1"/>
  <c r="BF48" i="50"/>
  <c r="AZ48" i="50"/>
  <c r="AT48" i="50"/>
  <c r="AM48" i="50"/>
  <c r="G48" i="50"/>
  <c r="BF47" i="50"/>
  <c r="AZ47" i="50"/>
  <c r="AT47" i="50"/>
  <c r="AM47" i="50"/>
  <c r="G47" i="50"/>
  <c r="BF46" i="50"/>
  <c r="AT46" i="50"/>
  <c r="AM46" i="50"/>
  <c r="G46" i="50"/>
  <c r="BF45" i="50"/>
  <c r="AT45" i="50"/>
  <c r="G45" i="50"/>
  <c r="BF44" i="50"/>
  <c r="AT44" i="50"/>
  <c r="BF43" i="50"/>
  <c r="AT43" i="50"/>
  <c r="BF42" i="50"/>
  <c r="BF32" i="50"/>
  <c r="AZ32" i="50"/>
  <c r="AT32" i="50"/>
  <c r="BE28" i="50"/>
  <c r="BD28" i="50"/>
  <c r="BC28" i="50"/>
  <c r="BB28" i="50"/>
  <c r="AY28" i="50"/>
  <c r="AX28" i="50"/>
  <c r="AW28" i="50"/>
  <c r="AV28" i="50"/>
  <c r="AU28" i="50"/>
  <c r="AS28" i="50"/>
  <c r="AR28" i="50"/>
  <c r="AQ28" i="50"/>
  <c r="AP28" i="50"/>
  <c r="AL28" i="50"/>
  <c r="AK28" i="50"/>
  <c r="AJ28" i="50"/>
  <c r="AI28" i="50"/>
  <c r="F28" i="50"/>
  <c r="E7" i="21" s="1"/>
  <c r="E28" i="50"/>
  <c r="E6" i="21" s="1"/>
  <c r="D28" i="50"/>
  <c r="E5" i="21" s="1"/>
  <c r="C28" i="50"/>
  <c r="E4" i="21" s="1"/>
  <c r="G27" i="50"/>
  <c r="U28" i="50"/>
  <c r="BF19" i="50"/>
  <c r="AZ19" i="50"/>
  <c r="AT19" i="50"/>
  <c r="AM19" i="50"/>
  <c r="G19" i="50"/>
  <c r="BF18" i="50"/>
  <c r="AZ18" i="50"/>
  <c r="AO28" i="50"/>
  <c r="AH28" i="50"/>
  <c r="H28" i="50"/>
  <c r="G18" i="50"/>
  <c r="BF17" i="50"/>
  <c r="AZ17" i="50"/>
  <c r="AT17" i="50"/>
  <c r="AM17" i="50"/>
  <c r="BE13" i="50"/>
  <c r="BD13" i="50"/>
  <c r="BC13" i="50"/>
  <c r="BB13" i="50"/>
  <c r="AY13" i="50"/>
  <c r="AX13" i="50"/>
  <c r="AW13" i="50"/>
  <c r="AV13" i="50"/>
  <c r="AU13" i="50"/>
  <c r="AS13" i="50"/>
  <c r="AR13" i="50"/>
  <c r="AQ13" i="50"/>
  <c r="AP13" i="50"/>
  <c r="AO13" i="50"/>
  <c r="AL13" i="50"/>
  <c r="AK13" i="50"/>
  <c r="AJ13" i="50"/>
  <c r="AI13" i="50"/>
  <c r="F13" i="50"/>
  <c r="G7" i="18" s="1"/>
  <c r="E13" i="50"/>
  <c r="G6" i="18" s="1"/>
  <c r="D13" i="50"/>
  <c r="G5" i="18" s="1"/>
  <c r="C13" i="50"/>
  <c r="G4" i="18" s="1"/>
  <c r="BF12" i="50"/>
  <c r="AZ12" i="50"/>
  <c r="AT12" i="50"/>
  <c r="AM12" i="50"/>
  <c r="G12" i="50"/>
  <c r="BF11" i="50"/>
  <c r="AZ11" i="50"/>
  <c r="AT11" i="50"/>
  <c r="AM11" i="50"/>
  <c r="G11" i="50"/>
  <c r="BF10" i="50"/>
  <c r="AZ10" i="50"/>
  <c r="AT10" i="50"/>
  <c r="AM10" i="50"/>
  <c r="G10" i="50"/>
  <c r="BF9" i="50"/>
  <c r="AZ9" i="50"/>
  <c r="AT9" i="50"/>
  <c r="AM9" i="50"/>
  <c r="G9" i="50"/>
  <c r="BF8" i="50"/>
  <c r="AZ8" i="50"/>
  <c r="AT8" i="50"/>
  <c r="AM8" i="50"/>
  <c r="I43" i="34"/>
  <c r="J43" i="34"/>
  <c r="K43" i="34"/>
  <c r="L43" i="34"/>
  <c r="P43" i="34"/>
  <c r="Q43" i="34"/>
  <c r="R43" i="34"/>
  <c r="S43" i="34"/>
  <c r="W43" i="34"/>
  <c r="X43" i="34"/>
  <c r="Y43" i="34"/>
  <c r="Z43" i="34"/>
  <c r="AD43" i="34"/>
  <c r="AE43" i="34"/>
  <c r="AF43" i="34"/>
  <c r="AG43" i="34"/>
  <c r="AJ43" i="34"/>
  <c r="AK43" i="34"/>
  <c r="AL43" i="34"/>
  <c r="AM43" i="34"/>
  <c r="AP43" i="34"/>
  <c r="AQ43" i="34"/>
  <c r="AR43" i="34"/>
  <c r="AS43" i="34"/>
  <c r="AO42" i="34"/>
  <c r="AO37" i="34"/>
  <c r="AO32" i="34"/>
  <c r="V37" i="34"/>
  <c r="V34" i="34"/>
  <c r="O37" i="34"/>
  <c r="O34" i="34"/>
  <c r="H37" i="34"/>
  <c r="H34" i="34"/>
  <c r="H25" i="34"/>
  <c r="H16" i="34"/>
  <c r="B42" i="34"/>
  <c r="B37" i="34"/>
  <c r="B36" i="34"/>
  <c r="B35" i="34"/>
  <c r="B34" i="34"/>
  <c r="B33" i="34"/>
  <c r="B32" i="34"/>
  <c r="B31" i="34"/>
  <c r="B29" i="34"/>
  <c r="B25" i="34"/>
  <c r="B23" i="34"/>
  <c r="B18" i="34"/>
  <c r="B17" i="34"/>
  <c r="B16" i="34"/>
  <c r="AO41" i="34"/>
  <c r="AT41" i="34" s="1"/>
  <c r="AO36" i="34"/>
  <c r="AT36" i="34" s="1"/>
  <c r="AO35" i="34"/>
  <c r="AT35" i="34" s="1"/>
  <c r="AO34" i="34"/>
  <c r="AT34" i="34" s="1"/>
  <c r="AO33" i="34"/>
  <c r="AT33" i="34" s="1"/>
  <c r="AO30" i="34"/>
  <c r="AT30" i="34" s="1"/>
  <c r="AO29" i="34"/>
  <c r="AT29" i="34" s="1"/>
  <c r="AT25" i="34"/>
  <c r="AO23" i="34"/>
  <c r="AT23" i="34" s="1"/>
  <c r="AO22" i="34"/>
  <c r="AT22" i="34" s="1"/>
  <c r="AO11" i="34"/>
  <c r="AT11" i="34" s="1"/>
  <c r="AO8" i="34"/>
  <c r="AT8" i="34" s="1"/>
  <c r="AI42" i="34"/>
  <c r="AI43" i="34" s="1"/>
  <c r="AI37" i="34"/>
  <c r="AN37" i="34" s="1"/>
  <c r="AI35" i="34"/>
  <c r="AN35" i="34" s="1"/>
  <c r="AI34" i="34"/>
  <c r="AN34" i="34" s="1"/>
  <c r="AI32" i="34"/>
  <c r="AN32" i="34" s="1"/>
  <c r="AI25" i="34"/>
  <c r="AI23" i="34"/>
  <c r="AN23" i="34" s="1"/>
  <c r="AI16" i="34"/>
  <c r="AN16" i="34" s="1"/>
  <c r="AC42" i="34"/>
  <c r="AH42" i="34" s="1"/>
  <c r="AC41" i="34"/>
  <c r="AH41" i="34" s="1"/>
  <c r="AC37" i="34"/>
  <c r="AC35" i="34"/>
  <c r="AH35" i="34" s="1"/>
  <c r="AC34" i="34"/>
  <c r="AH34" i="34" s="1"/>
  <c r="AC33" i="34"/>
  <c r="AH33" i="34" s="1"/>
  <c r="AC30" i="34"/>
  <c r="AH30" i="34" s="1"/>
  <c r="AC29" i="34"/>
  <c r="AH29" i="34" s="1"/>
  <c r="AC23" i="34"/>
  <c r="AH23" i="34" s="1"/>
  <c r="AC16" i="34"/>
  <c r="AH16" i="34" s="1"/>
  <c r="AC11" i="34"/>
  <c r="AH11" i="34" s="1"/>
  <c r="AC10" i="34"/>
  <c r="AH10" i="34" s="1"/>
  <c r="AC8" i="34"/>
  <c r="AH8" i="34" s="1"/>
  <c r="V42" i="34"/>
  <c r="V43" i="34" s="1"/>
  <c r="V35" i="34"/>
  <c r="V33" i="34"/>
  <c r="V32" i="34"/>
  <c r="V30" i="34"/>
  <c r="V29" i="34"/>
  <c r="V23" i="34"/>
  <c r="V20" i="34"/>
  <c r="V16" i="34"/>
  <c r="V11" i="34"/>
  <c r="V7" i="34"/>
  <c r="O42" i="34"/>
  <c r="O41" i="34"/>
  <c r="O36" i="34"/>
  <c r="O35" i="34"/>
  <c r="O33" i="34"/>
  <c r="O32" i="34"/>
  <c r="O30" i="34"/>
  <c r="O29" i="34"/>
  <c r="O25" i="34"/>
  <c r="O23" i="34"/>
  <c r="O22" i="34"/>
  <c r="O20" i="34"/>
  <c r="O11" i="34"/>
  <c r="O8" i="34"/>
  <c r="H42" i="34"/>
  <c r="H41" i="34"/>
  <c r="H36" i="34"/>
  <c r="H35" i="34"/>
  <c r="H31" i="34"/>
  <c r="H30" i="34"/>
  <c r="H29" i="34"/>
  <c r="H23" i="34"/>
  <c r="H22" i="34"/>
  <c r="H20" i="34"/>
  <c r="H11" i="34"/>
  <c r="H8" i="34"/>
  <c r="H7" i="34"/>
  <c r="H32" i="34"/>
  <c r="B22" i="34"/>
  <c r="B15" i="34"/>
  <c r="B24" i="34"/>
  <c r="B21" i="34"/>
  <c r="B20" i="34"/>
  <c r="B19" i="34"/>
  <c r="AS37" i="34"/>
  <c r="AS38" i="34" s="1"/>
  <c r="AG37" i="34"/>
  <c r="S37" i="34"/>
  <c r="L37" i="34"/>
  <c r="F37" i="34"/>
  <c r="AT31" i="34"/>
  <c r="AT16" i="34"/>
  <c r="AT17" i="34"/>
  <c r="AT18" i="34"/>
  <c r="AT19" i="34"/>
  <c r="AT20" i="34"/>
  <c r="AT21" i="34"/>
  <c r="AT24" i="34"/>
  <c r="AT15" i="34"/>
  <c r="AT9" i="34"/>
  <c r="AT10" i="34"/>
  <c r="AN7" i="34"/>
  <c r="AT7" i="34"/>
  <c r="AN41" i="34"/>
  <c r="AN30" i="34"/>
  <c r="AN31" i="34"/>
  <c r="AN33" i="34"/>
  <c r="AN36" i="34"/>
  <c r="AN29" i="34"/>
  <c r="AN17" i="34"/>
  <c r="AN18" i="34"/>
  <c r="AN19" i="34"/>
  <c r="AN20" i="34"/>
  <c r="AN21" i="34"/>
  <c r="AN22" i="34"/>
  <c r="AN24" i="34"/>
  <c r="AN15" i="34"/>
  <c r="AN8" i="34"/>
  <c r="AN9" i="34"/>
  <c r="AN10" i="34"/>
  <c r="AN11" i="34"/>
  <c r="AH31" i="34"/>
  <c r="AH32" i="34"/>
  <c r="AH36" i="34"/>
  <c r="AH17" i="34"/>
  <c r="AH18" i="34"/>
  <c r="AH19" i="34"/>
  <c r="AH20" i="34"/>
  <c r="AH21" i="34"/>
  <c r="AH22" i="34"/>
  <c r="AH24" i="34"/>
  <c r="AH25" i="34"/>
  <c r="AH15" i="34"/>
  <c r="AH9" i="34"/>
  <c r="AH7" i="34"/>
  <c r="AR38" i="34"/>
  <c r="AQ38" i="34"/>
  <c r="AP38" i="34"/>
  <c r="AM38" i="34"/>
  <c r="AL38" i="34"/>
  <c r="AK38" i="34"/>
  <c r="AJ38" i="34"/>
  <c r="AS26" i="34"/>
  <c r="AR26" i="34"/>
  <c r="AQ26" i="34"/>
  <c r="AP26" i="34"/>
  <c r="AM26" i="34"/>
  <c r="AL26" i="34"/>
  <c r="AK26" i="34"/>
  <c r="AJ26" i="34"/>
  <c r="AS12" i="34"/>
  <c r="AR12" i="34"/>
  <c r="AQ12" i="34"/>
  <c r="AP12" i="34"/>
  <c r="AM12" i="34"/>
  <c r="AL12" i="34"/>
  <c r="AK12" i="34"/>
  <c r="AJ12" i="34"/>
  <c r="AI12" i="34"/>
  <c r="AF38" i="34"/>
  <c r="AE38" i="34"/>
  <c r="AD38" i="34"/>
  <c r="AG26" i="34"/>
  <c r="AF26" i="34"/>
  <c r="AE26" i="34"/>
  <c r="AD26" i="34"/>
  <c r="AG12" i="34"/>
  <c r="AF12" i="34"/>
  <c r="AE12" i="34"/>
  <c r="AD12" i="34"/>
  <c r="AA32" i="49"/>
  <c r="AB32" i="49"/>
  <c r="AA33" i="49"/>
  <c r="AB33" i="49"/>
  <c r="K38" i="49"/>
  <c r="Q38" i="49"/>
  <c r="V10" i="49"/>
  <c r="O10" i="49"/>
  <c r="O7" i="49"/>
  <c r="H7" i="49"/>
  <c r="V34" i="49"/>
  <c r="V32" i="49"/>
  <c r="O37" i="49"/>
  <c r="O34" i="49"/>
  <c r="T32" i="49"/>
  <c r="U32" i="49"/>
  <c r="M32" i="49"/>
  <c r="N32" i="49" s="1"/>
  <c r="H37" i="49"/>
  <c r="H35" i="49"/>
  <c r="H34" i="49"/>
  <c r="H32" i="49"/>
  <c r="B37" i="49"/>
  <c r="B38" i="49" s="1"/>
  <c r="G32" i="49"/>
  <c r="M6" i="48"/>
  <c r="Z25" i="48"/>
  <c r="Z44" i="48"/>
  <c r="R25" i="48"/>
  <c r="R11" i="48"/>
  <c r="K25" i="48"/>
  <c r="K11" i="48"/>
  <c r="AA32" i="48"/>
  <c r="T32" i="48"/>
  <c r="M32" i="48"/>
  <c r="G32" i="48"/>
  <c r="L43" i="47"/>
  <c r="AA32" i="47"/>
  <c r="T32" i="47"/>
  <c r="M32" i="47"/>
  <c r="G32" i="47"/>
  <c r="Z11" i="46"/>
  <c r="D38" i="46"/>
  <c r="AA32" i="46"/>
  <c r="T32" i="46"/>
  <c r="M32" i="46"/>
  <c r="G32" i="46"/>
  <c r="AC42" i="45"/>
  <c r="AC34" i="45"/>
  <c r="AC38" i="45" s="1"/>
  <c r="AC37" i="45"/>
  <c r="AC35" i="45"/>
  <c r="AC32" i="45"/>
  <c r="AC31" i="45"/>
  <c r="AC29" i="45"/>
  <c r="R25" i="45"/>
  <c r="AD42" i="45"/>
  <c r="AD28" i="45"/>
  <c r="AC33" i="45"/>
  <c r="AC28" i="45"/>
  <c r="AD37" i="45"/>
  <c r="AD34" i="45"/>
  <c r="AE42" i="45"/>
  <c r="AE37" i="45"/>
  <c r="AE35" i="45"/>
  <c r="AE34" i="45"/>
  <c r="AE33" i="45"/>
  <c r="AE32" i="45"/>
  <c r="AE31" i="45"/>
  <c r="AE29" i="45"/>
  <c r="AE28" i="45"/>
  <c r="AE30" i="45"/>
  <c r="AD35" i="45"/>
  <c r="AA32" i="45"/>
  <c r="T32" i="45"/>
  <c r="G31" i="45"/>
  <c r="G32" i="45"/>
  <c r="G33" i="45"/>
  <c r="M31" i="45"/>
  <c r="M32" i="45"/>
  <c r="M33" i="45"/>
  <c r="M34" i="45"/>
  <c r="B11" i="48"/>
  <c r="B11" i="49"/>
  <c r="N43" i="44"/>
  <c r="AE43" i="49"/>
  <c r="AD43" i="49"/>
  <c r="AC43" i="49"/>
  <c r="Z43" i="49"/>
  <c r="Y43" i="49"/>
  <c r="X43" i="49"/>
  <c r="W43" i="49"/>
  <c r="V43" i="49"/>
  <c r="S43" i="49"/>
  <c r="R43" i="49"/>
  <c r="Q43" i="49"/>
  <c r="P43" i="49"/>
  <c r="O43" i="49"/>
  <c r="L43" i="49"/>
  <c r="K43" i="49"/>
  <c r="J43" i="49"/>
  <c r="I43" i="49"/>
  <c r="H43" i="49"/>
  <c r="F43" i="49"/>
  <c r="E43" i="49"/>
  <c r="D43" i="49"/>
  <c r="C43" i="49"/>
  <c r="B43" i="49"/>
  <c r="AA42" i="49"/>
  <c r="T42" i="49"/>
  <c r="M42" i="49"/>
  <c r="G42" i="49"/>
  <c r="AA41" i="49"/>
  <c r="T41" i="49"/>
  <c r="M41" i="49"/>
  <c r="G41" i="49"/>
  <c r="AE38" i="49"/>
  <c r="AD38" i="49"/>
  <c r="AC38" i="49"/>
  <c r="Z38" i="49"/>
  <c r="Y38" i="49"/>
  <c r="X38" i="49"/>
  <c r="W38" i="49"/>
  <c r="V38" i="49"/>
  <c r="S38" i="49"/>
  <c r="R38" i="49"/>
  <c r="P38" i="49"/>
  <c r="O38" i="49"/>
  <c r="L38" i="49"/>
  <c r="J38" i="49"/>
  <c r="I38" i="49"/>
  <c r="H38" i="49"/>
  <c r="F38" i="49"/>
  <c r="E38" i="49"/>
  <c r="D38" i="49"/>
  <c r="C38" i="49"/>
  <c r="AA37" i="49"/>
  <c r="T37" i="49"/>
  <c r="M37" i="49"/>
  <c r="G37" i="49"/>
  <c r="AA36" i="49"/>
  <c r="U36" i="49"/>
  <c r="T36" i="49"/>
  <c r="M36" i="49"/>
  <c r="G36" i="49"/>
  <c r="AA35" i="49"/>
  <c r="T35" i="49"/>
  <c r="M35" i="49"/>
  <c r="G35" i="49"/>
  <c r="AA34" i="49"/>
  <c r="T34" i="49"/>
  <c r="M34" i="49"/>
  <c r="G34" i="49"/>
  <c r="T33" i="49"/>
  <c r="M33" i="49"/>
  <c r="G33" i="49"/>
  <c r="N33" i="49" s="1"/>
  <c r="AA31" i="49"/>
  <c r="T31" i="49"/>
  <c r="M31" i="49"/>
  <c r="G31" i="49"/>
  <c r="AB31" i="49" s="1"/>
  <c r="AA30" i="49"/>
  <c r="T30" i="49"/>
  <c r="M30" i="49"/>
  <c r="G30" i="49"/>
  <c r="AA29" i="49"/>
  <c r="T29" i="49"/>
  <c r="M29" i="49"/>
  <c r="G29" i="49"/>
  <c r="AA28" i="49"/>
  <c r="T28" i="49"/>
  <c r="M28" i="49"/>
  <c r="G28" i="49"/>
  <c r="N28" i="49" s="1"/>
  <c r="AE25" i="49"/>
  <c r="AD25" i="49"/>
  <c r="AC25" i="49"/>
  <c r="Z25" i="49"/>
  <c r="Y25" i="49"/>
  <c r="X25" i="49"/>
  <c r="W25" i="49"/>
  <c r="V25" i="49"/>
  <c r="S25" i="49"/>
  <c r="R25" i="49"/>
  <c r="Q25" i="49"/>
  <c r="P25" i="49"/>
  <c r="O25" i="49"/>
  <c r="L25" i="49"/>
  <c r="K25" i="49"/>
  <c r="J25" i="49"/>
  <c r="I25" i="49"/>
  <c r="H25" i="49"/>
  <c r="F25" i="49"/>
  <c r="E25" i="49"/>
  <c r="D25" i="49"/>
  <c r="C25" i="49"/>
  <c r="B25" i="49"/>
  <c r="AA24" i="49"/>
  <c r="T24" i="49"/>
  <c r="M24" i="49"/>
  <c r="G24" i="49"/>
  <c r="AA23" i="49"/>
  <c r="T23" i="49"/>
  <c r="M23" i="49"/>
  <c r="G23" i="49"/>
  <c r="AA22" i="49"/>
  <c r="T22" i="49"/>
  <c r="M22" i="49"/>
  <c r="G22" i="49"/>
  <c r="U22" i="49" s="1"/>
  <c r="AA21" i="49"/>
  <c r="T21" i="49"/>
  <c r="M21" i="49"/>
  <c r="G21" i="49"/>
  <c r="AA20" i="49"/>
  <c r="T20" i="49"/>
  <c r="M20" i="49"/>
  <c r="G20" i="49"/>
  <c r="AA19" i="49"/>
  <c r="T19" i="49"/>
  <c r="M19" i="49"/>
  <c r="G19" i="49"/>
  <c r="AA18" i="49"/>
  <c r="T18" i="49"/>
  <c r="M18" i="49"/>
  <c r="G18" i="49"/>
  <c r="AA17" i="49"/>
  <c r="T17" i="49"/>
  <c r="M17" i="49"/>
  <c r="G17" i="49"/>
  <c r="AA16" i="49"/>
  <c r="T16" i="49"/>
  <c r="M16" i="49"/>
  <c r="G16" i="49"/>
  <c r="AA15" i="49"/>
  <c r="T15" i="49"/>
  <c r="M15" i="49"/>
  <c r="G15" i="49"/>
  <c r="AA14" i="49"/>
  <c r="T14" i="49"/>
  <c r="M14" i="49"/>
  <c r="G14" i="49"/>
  <c r="AE11" i="49"/>
  <c r="AD11" i="49"/>
  <c r="AC11" i="49"/>
  <c r="Z11" i="49"/>
  <c r="Y11" i="49"/>
  <c r="X11" i="49"/>
  <c r="W11" i="49"/>
  <c r="V11" i="49"/>
  <c r="S11" i="49"/>
  <c r="R11" i="49"/>
  <c r="Q11" i="49"/>
  <c r="P11" i="49"/>
  <c r="O11" i="49"/>
  <c r="L11" i="49"/>
  <c r="K11" i="49"/>
  <c r="J11" i="49"/>
  <c r="I11" i="49"/>
  <c r="H11" i="49"/>
  <c r="F11" i="49"/>
  <c r="E11" i="49"/>
  <c r="D11" i="49"/>
  <c r="C11" i="49"/>
  <c r="AA10" i="49"/>
  <c r="T10" i="49"/>
  <c r="M10" i="49"/>
  <c r="G10" i="49"/>
  <c r="AA9" i="49"/>
  <c r="T9" i="49"/>
  <c r="M9" i="49"/>
  <c r="G9" i="49"/>
  <c r="AA8" i="49"/>
  <c r="T8" i="49"/>
  <c r="M8" i="49"/>
  <c r="G8" i="49"/>
  <c r="AA7" i="49"/>
  <c r="T7" i="49"/>
  <c r="M7" i="49"/>
  <c r="G7" i="49"/>
  <c r="AA6" i="49"/>
  <c r="T6" i="49"/>
  <c r="M6" i="49"/>
  <c r="G6" i="49"/>
  <c r="AE43" i="48"/>
  <c r="AD43" i="48"/>
  <c r="AC43" i="48"/>
  <c r="Z43" i="48"/>
  <c r="Y43" i="48"/>
  <c r="X43" i="48"/>
  <c r="W43" i="48"/>
  <c r="V43" i="48"/>
  <c r="S43" i="48"/>
  <c r="R43" i="48"/>
  <c r="Q43" i="48"/>
  <c r="P43" i="48"/>
  <c r="O43" i="48"/>
  <c r="L43" i="48"/>
  <c r="K43" i="48"/>
  <c r="J43" i="48"/>
  <c r="I43" i="48"/>
  <c r="H43" i="48"/>
  <c r="F43" i="48"/>
  <c r="E43" i="48"/>
  <c r="D43" i="48"/>
  <c r="C43" i="48"/>
  <c r="B43" i="48"/>
  <c r="AA42" i="48"/>
  <c r="T42" i="48"/>
  <c r="M42" i="48"/>
  <c r="G42" i="48"/>
  <c r="AA41" i="48"/>
  <c r="T41" i="48"/>
  <c r="U41" i="48" s="1"/>
  <c r="M41" i="48"/>
  <c r="G41" i="48"/>
  <c r="AE38" i="48"/>
  <c r="AD38" i="48"/>
  <c r="AC38" i="48"/>
  <c r="Z38" i="48"/>
  <c r="Y38" i="48"/>
  <c r="X38" i="48"/>
  <c r="W38" i="48"/>
  <c r="V38" i="48"/>
  <c r="S38" i="48"/>
  <c r="R38" i="48"/>
  <c r="Q38" i="48"/>
  <c r="P38" i="48"/>
  <c r="O38" i="48"/>
  <c r="L38" i="48"/>
  <c r="K38" i="48"/>
  <c r="J38" i="48"/>
  <c r="I38" i="48"/>
  <c r="H38" i="48"/>
  <c r="F38" i="48"/>
  <c r="E38" i="48"/>
  <c r="D38" i="48"/>
  <c r="C38" i="48"/>
  <c r="B38" i="48"/>
  <c r="AA37" i="48"/>
  <c r="T37" i="48"/>
  <c r="M37" i="48"/>
  <c r="G37" i="48"/>
  <c r="AA36" i="48"/>
  <c r="T36" i="48"/>
  <c r="M36" i="48"/>
  <c r="G36" i="48"/>
  <c r="AA35" i="48"/>
  <c r="T35" i="48"/>
  <c r="M35" i="48"/>
  <c r="G35" i="48"/>
  <c r="AA34" i="48"/>
  <c r="T34" i="48"/>
  <c r="M34" i="48"/>
  <c r="G34" i="48"/>
  <c r="AA33" i="48"/>
  <c r="T33" i="48"/>
  <c r="M33" i="48"/>
  <c r="G33" i="48"/>
  <c r="AA31" i="48"/>
  <c r="T31" i="48"/>
  <c r="M31" i="48"/>
  <c r="G31" i="48"/>
  <c r="AA30" i="48"/>
  <c r="T30" i="48"/>
  <c r="M30" i="48"/>
  <c r="G30" i="48"/>
  <c r="AA29" i="48"/>
  <c r="T29" i="48"/>
  <c r="M29" i="48"/>
  <c r="G29" i="48"/>
  <c r="AA28" i="48"/>
  <c r="T28" i="48"/>
  <c r="M28" i="48"/>
  <c r="G28" i="48"/>
  <c r="AE25" i="48"/>
  <c r="AD25" i="48"/>
  <c r="AC25" i="48"/>
  <c r="Y25" i="48"/>
  <c r="X25" i="48"/>
  <c r="W25" i="48"/>
  <c r="V25" i="48"/>
  <c r="S25" i="48"/>
  <c r="Q25" i="48"/>
  <c r="P25" i="48"/>
  <c r="O25" i="48"/>
  <c r="L25" i="48"/>
  <c r="J25" i="48"/>
  <c r="I25" i="48"/>
  <c r="H25" i="48"/>
  <c r="F25" i="48"/>
  <c r="E25" i="48"/>
  <c r="D25" i="48"/>
  <c r="C25" i="48"/>
  <c r="B25" i="48"/>
  <c r="AA24" i="48"/>
  <c r="T24" i="48"/>
  <c r="M24" i="48"/>
  <c r="G24" i="48"/>
  <c r="AA23" i="48"/>
  <c r="T23" i="48"/>
  <c r="M23" i="48"/>
  <c r="G23" i="48"/>
  <c r="AA22" i="48"/>
  <c r="T22" i="48"/>
  <c r="M22" i="48"/>
  <c r="G22" i="48"/>
  <c r="AA21" i="48"/>
  <c r="T21" i="48"/>
  <c r="M21" i="48"/>
  <c r="G21" i="48"/>
  <c r="AA20" i="48"/>
  <c r="T20" i="48"/>
  <c r="M20" i="48"/>
  <c r="G20" i="48"/>
  <c r="AA19" i="48"/>
  <c r="T19" i="48"/>
  <c r="M19" i="48"/>
  <c r="G19" i="48"/>
  <c r="AA18" i="48"/>
  <c r="T18" i="48"/>
  <c r="M18" i="48"/>
  <c r="G18" i="48"/>
  <c r="AA17" i="48"/>
  <c r="T17" i="48"/>
  <c r="M17" i="48"/>
  <c r="G17" i="48"/>
  <c r="AA16" i="48"/>
  <c r="T16" i="48"/>
  <c r="M16" i="48"/>
  <c r="G16" i="48"/>
  <c r="AA15" i="48"/>
  <c r="T15" i="48"/>
  <c r="M15" i="48"/>
  <c r="G15" i="48"/>
  <c r="AA14" i="48"/>
  <c r="T14" i="48"/>
  <c r="M14" i="48"/>
  <c r="G14" i="48"/>
  <c r="AE11" i="48"/>
  <c r="AD11" i="48"/>
  <c r="AC11" i="48"/>
  <c r="Z11" i="48"/>
  <c r="Y11" i="48"/>
  <c r="X11" i="48"/>
  <c r="W11" i="48"/>
  <c r="V11" i="48"/>
  <c r="S11" i="48"/>
  <c r="Q11" i="48"/>
  <c r="P11" i="48"/>
  <c r="O11" i="48"/>
  <c r="L11" i="48"/>
  <c r="J11" i="48"/>
  <c r="I11" i="48"/>
  <c r="H11" i="48"/>
  <c r="F11" i="48"/>
  <c r="E11" i="48"/>
  <c r="D11" i="48"/>
  <c r="C11" i="48"/>
  <c r="AA10" i="48"/>
  <c r="T10" i="48"/>
  <c r="M10" i="48"/>
  <c r="G10" i="48"/>
  <c r="AA9" i="48"/>
  <c r="T9" i="48"/>
  <c r="M9" i="48"/>
  <c r="G9" i="48"/>
  <c r="AA8" i="48"/>
  <c r="T8" i="48"/>
  <c r="M8" i="48"/>
  <c r="G8" i="48"/>
  <c r="AA7" i="48"/>
  <c r="T7" i="48"/>
  <c r="M7" i="48"/>
  <c r="G7" i="48"/>
  <c r="AA6" i="48"/>
  <c r="T6" i="48"/>
  <c r="G6" i="48"/>
  <c r="AE43" i="47"/>
  <c r="AD43" i="47"/>
  <c r="AC43" i="47"/>
  <c r="Z43" i="47"/>
  <c r="Y43" i="47"/>
  <c r="X43" i="47"/>
  <c r="W43" i="47"/>
  <c r="V43" i="47"/>
  <c r="S43" i="47"/>
  <c r="R43" i="47"/>
  <c r="Q43" i="47"/>
  <c r="P43" i="47"/>
  <c r="O43" i="47"/>
  <c r="K43" i="47"/>
  <c r="J43" i="47"/>
  <c r="I43" i="47"/>
  <c r="H43" i="47"/>
  <c r="F43" i="47"/>
  <c r="E43" i="47"/>
  <c r="D43" i="47"/>
  <c r="C43" i="47"/>
  <c r="B43" i="47"/>
  <c r="AA42" i="47"/>
  <c r="T42" i="47"/>
  <c r="M42" i="47"/>
  <c r="G42" i="47"/>
  <c r="AA41" i="47"/>
  <c r="T41" i="47"/>
  <c r="M41" i="47"/>
  <c r="G41" i="47"/>
  <c r="AE38" i="47"/>
  <c r="AD38" i="47"/>
  <c r="AC38" i="47"/>
  <c r="Z38" i="47"/>
  <c r="Y38" i="47"/>
  <c r="X38" i="47"/>
  <c r="W38" i="47"/>
  <c r="V38" i="47"/>
  <c r="S38" i="47"/>
  <c r="R38" i="47"/>
  <c r="Q38" i="47"/>
  <c r="P38" i="47"/>
  <c r="O38" i="47"/>
  <c r="L38" i="47"/>
  <c r="K38" i="47"/>
  <c r="J38" i="47"/>
  <c r="I38" i="47"/>
  <c r="H38" i="47"/>
  <c r="F38" i="47"/>
  <c r="E38" i="47"/>
  <c r="D38" i="47"/>
  <c r="C38" i="47"/>
  <c r="B38" i="47"/>
  <c r="AA37" i="47"/>
  <c r="T37" i="47"/>
  <c r="M37" i="47"/>
  <c r="G37" i="47"/>
  <c r="AA36" i="47"/>
  <c r="T36" i="47"/>
  <c r="M36" i="47"/>
  <c r="G36" i="47"/>
  <c r="AA35" i="47"/>
  <c r="T35" i="47"/>
  <c r="U35" i="47" s="1"/>
  <c r="M35" i="47"/>
  <c r="N35" i="47" s="1"/>
  <c r="G35" i="47"/>
  <c r="AA34" i="47"/>
  <c r="T34" i="47"/>
  <c r="M34" i="47"/>
  <c r="G34" i="47"/>
  <c r="AA33" i="47"/>
  <c r="T33" i="47"/>
  <c r="M33" i="47"/>
  <c r="G33" i="47"/>
  <c r="AB33" i="47" s="1"/>
  <c r="AA31" i="47"/>
  <c r="T31" i="47"/>
  <c r="M31" i="47"/>
  <c r="G31" i="47"/>
  <c r="AA30" i="47"/>
  <c r="T30" i="47"/>
  <c r="M30" i="47"/>
  <c r="G30" i="47"/>
  <c r="AA29" i="47"/>
  <c r="T29" i="47"/>
  <c r="M29" i="47"/>
  <c r="G29" i="47"/>
  <c r="AA28" i="47"/>
  <c r="T28" i="47"/>
  <c r="M28" i="47"/>
  <c r="G28" i="47"/>
  <c r="N28" i="47" s="1"/>
  <c r="AE25" i="47"/>
  <c r="AD25" i="47"/>
  <c r="AC25" i="47"/>
  <c r="Z25" i="47"/>
  <c r="Y25" i="47"/>
  <c r="X25" i="47"/>
  <c r="W25" i="47"/>
  <c r="V25" i="47"/>
  <c r="S25" i="47"/>
  <c r="R25" i="47"/>
  <c r="Q25" i="47"/>
  <c r="P25" i="47"/>
  <c r="O25" i="47"/>
  <c r="L25" i="47"/>
  <c r="K25" i="47"/>
  <c r="J25" i="47"/>
  <c r="I25" i="47"/>
  <c r="H25" i="47"/>
  <c r="F25" i="47"/>
  <c r="E25" i="47"/>
  <c r="D25" i="47"/>
  <c r="C25" i="47"/>
  <c r="B25" i="47"/>
  <c r="AA24" i="47"/>
  <c r="T24" i="47"/>
  <c r="M24" i="47"/>
  <c r="G24" i="47"/>
  <c r="AA23" i="47"/>
  <c r="T23" i="47"/>
  <c r="M23" i="47"/>
  <c r="G23" i="47"/>
  <c r="AA22" i="47"/>
  <c r="T22" i="47"/>
  <c r="M22" i="47"/>
  <c r="G22" i="47"/>
  <c r="AA21" i="47"/>
  <c r="T21" i="47"/>
  <c r="M21" i="47"/>
  <c r="G21" i="47"/>
  <c r="AA20" i="47"/>
  <c r="T20" i="47"/>
  <c r="M20" i="47"/>
  <c r="G20" i="47"/>
  <c r="AA19" i="47"/>
  <c r="T19" i="47"/>
  <c r="M19" i="47"/>
  <c r="G19" i="47"/>
  <c r="AA18" i="47"/>
  <c r="T18" i="47"/>
  <c r="M18" i="47"/>
  <c r="G18" i="47"/>
  <c r="AA17" i="47"/>
  <c r="T17" i="47"/>
  <c r="M17" i="47"/>
  <c r="G17" i="47"/>
  <c r="AA16" i="47"/>
  <c r="T16" i="47"/>
  <c r="M16" i="47"/>
  <c r="G16" i="47"/>
  <c r="AA15" i="47"/>
  <c r="T15" i="47"/>
  <c r="M15" i="47"/>
  <c r="G15" i="47"/>
  <c r="AA14" i="47"/>
  <c r="T14" i="47"/>
  <c r="M14" i="47"/>
  <c r="G14" i="47"/>
  <c r="AE11" i="47"/>
  <c r="AD11" i="47"/>
  <c r="AC11" i="47"/>
  <c r="Z11" i="47"/>
  <c r="Y11" i="47"/>
  <c r="X11" i="47"/>
  <c r="W11" i="47"/>
  <c r="V11" i="47"/>
  <c r="S11" i="47"/>
  <c r="R11" i="47"/>
  <c r="Q11" i="47"/>
  <c r="P11" i="47"/>
  <c r="O11" i="47"/>
  <c r="L11" i="47"/>
  <c r="K11" i="47"/>
  <c r="J11" i="47"/>
  <c r="I11" i="47"/>
  <c r="H11" i="47"/>
  <c r="F11" i="47"/>
  <c r="E11" i="47"/>
  <c r="D11" i="47"/>
  <c r="C11" i="47"/>
  <c r="B11" i="47"/>
  <c r="AA10" i="47"/>
  <c r="T10" i="47"/>
  <c r="M10" i="47"/>
  <c r="G10" i="47"/>
  <c r="AA9" i="47"/>
  <c r="T9" i="47"/>
  <c r="M9" i="47"/>
  <c r="G9" i="47"/>
  <c r="AA8" i="47"/>
  <c r="T8" i="47"/>
  <c r="M8" i="47"/>
  <c r="G8" i="47"/>
  <c r="AA7" i="47"/>
  <c r="T7" i="47"/>
  <c r="M7" i="47"/>
  <c r="G7" i="47"/>
  <c r="N7" i="47" s="1"/>
  <c r="AA6" i="47"/>
  <c r="T6" i="47"/>
  <c r="M6" i="47"/>
  <c r="G6" i="47"/>
  <c r="AE43" i="46"/>
  <c r="AD43" i="46"/>
  <c r="AC43" i="46"/>
  <c r="Z43" i="46"/>
  <c r="Y43" i="46"/>
  <c r="X43" i="46"/>
  <c r="W43" i="46"/>
  <c r="V43" i="46"/>
  <c r="S43" i="46"/>
  <c r="R43" i="46"/>
  <c r="Q43" i="46"/>
  <c r="P43" i="46"/>
  <c r="O43" i="46"/>
  <c r="L43" i="46"/>
  <c r="K43" i="46"/>
  <c r="J43" i="46"/>
  <c r="I43" i="46"/>
  <c r="H43" i="46"/>
  <c r="F43" i="46"/>
  <c r="E43" i="46"/>
  <c r="D43" i="46"/>
  <c r="C43" i="46"/>
  <c r="B43" i="46"/>
  <c r="AA42" i="46"/>
  <c r="T42" i="46"/>
  <c r="T43" i="46" s="1"/>
  <c r="M42" i="46"/>
  <c r="M43" i="46" s="1"/>
  <c r="G42" i="46"/>
  <c r="N42" i="46" s="1"/>
  <c r="AA41" i="46"/>
  <c r="T41" i="46"/>
  <c r="M41" i="46"/>
  <c r="G41" i="46"/>
  <c r="AE38" i="46"/>
  <c r="AD38" i="46"/>
  <c r="AC38" i="46"/>
  <c r="Z38" i="46"/>
  <c r="Y38" i="46"/>
  <c r="X38" i="46"/>
  <c r="W38" i="46"/>
  <c r="V38" i="46"/>
  <c r="S38" i="46"/>
  <c r="R38" i="46"/>
  <c r="Q38" i="46"/>
  <c r="P38" i="46"/>
  <c r="O38" i="46"/>
  <c r="L38" i="46"/>
  <c r="K38" i="46"/>
  <c r="J38" i="46"/>
  <c r="I38" i="46"/>
  <c r="H38" i="46"/>
  <c r="F38" i="46"/>
  <c r="E38" i="46"/>
  <c r="C38" i="46"/>
  <c r="B38" i="46"/>
  <c r="AA37" i="46"/>
  <c r="T37" i="46"/>
  <c r="M37" i="46"/>
  <c r="G37" i="46"/>
  <c r="AA36" i="46"/>
  <c r="U36" i="46"/>
  <c r="T36" i="46"/>
  <c r="M36" i="46"/>
  <c r="G36" i="46"/>
  <c r="AA35" i="46"/>
  <c r="T35" i="46"/>
  <c r="M35" i="46"/>
  <c r="G35" i="46"/>
  <c r="AA34" i="46"/>
  <c r="T34" i="46"/>
  <c r="M34" i="46"/>
  <c r="G34" i="46"/>
  <c r="AA33" i="46"/>
  <c r="T33" i="46"/>
  <c r="M33" i="46"/>
  <c r="G33" i="46"/>
  <c r="AA31" i="46"/>
  <c r="T31" i="46"/>
  <c r="M31" i="46"/>
  <c r="G31" i="46"/>
  <c r="AA30" i="46"/>
  <c r="T30" i="46"/>
  <c r="M30" i="46"/>
  <c r="G30" i="46"/>
  <c r="AA29" i="46"/>
  <c r="T29" i="46"/>
  <c r="M29" i="46"/>
  <c r="G29" i="46"/>
  <c r="AA28" i="46"/>
  <c r="T28" i="46"/>
  <c r="M28" i="46"/>
  <c r="G28" i="46"/>
  <c r="AB28" i="46" s="1"/>
  <c r="AE25" i="46"/>
  <c r="AD25" i="46"/>
  <c r="AC25" i="46"/>
  <c r="Z25" i="46"/>
  <c r="Y25" i="46"/>
  <c r="X25" i="46"/>
  <c r="W25" i="46"/>
  <c r="V25" i="46"/>
  <c r="S25" i="46"/>
  <c r="R25" i="46"/>
  <c r="Q25" i="46"/>
  <c r="P25" i="46"/>
  <c r="O25" i="46"/>
  <c r="L25" i="46"/>
  <c r="K25" i="46"/>
  <c r="J25" i="46"/>
  <c r="I25" i="46"/>
  <c r="H25" i="46"/>
  <c r="F25" i="46"/>
  <c r="E25" i="46"/>
  <c r="D25" i="46"/>
  <c r="C25" i="46"/>
  <c r="B25" i="46"/>
  <c r="AA24" i="46"/>
  <c r="T24" i="46"/>
  <c r="M24" i="46"/>
  <c r="G24" i="46"/>
  <c r="AA23" i="46"/>
  <c r="T23" i="46"/>
  <c r="M23" i="46"/>
  <c r="G23" i="46"/>
  <c r="AA22" i="46"/>
  <c r="T22" i="46"/>
  <c r="M22" i="46"/>
  <c r="G22" i="46"/>
  <c r="AA21" i="46"/>
  <c r="T21" i="46"/>
  <c r="M21" i="46"/>
  <c r="G21" i="46"/>
  <c r="AA20" i="46"/>
  <c r="T20" i="46"/>
  <c r="M20" i="46"/>
  <c r="G20" i="46"/>
  <c r="AB20" i="46" s="1"/>
  <c r="AA19" i="46"/>
  <c r="T19" i="46"/>
  <c r="M19" i="46"/>
  <c r="G19" i="46"/>
  <c r="AA18" i="46"/>
  <c r="T18" i="46"/>
  <c r="M18" i="46"/>
  <c r="G18" i="46"/>
  <c r="AA17" i="46"/>
  <c r="T17" i="46"/>
  <c r="M17" i="46"/>
  <c r="G17" i="46"/>
  <c r="AA16" i="46"/>
  <c r="T16" i="46"/>
  <c r="M16" i="46"/>
  <c r="G16" i="46"/>
  <c r="AA15" i="46"/>
  <c r="T15" i="46"/>
  <c r="M15" i="46"/>
  <c r="G15" i="46"/>
  <c r="AA14" i="46"/>
  <c r="T14" i="46"/>
  <c r="M14" i="46"/>
  <c r="G14" i="46"/>
  <c r="AE11" i="46"/>
  <c r="AD11" i="46"/>
  <c r="AC11" i="46"/>
  <c r="Y11" i="46"/>
  <c r="X11" i="46"/>
  <c r="W11" i="46"/>
  <c r="V11" i="46"/>
  <c r="S11" i="46"/>
  <c r="R11" i="46"/>
  <c r="Q11" i="46"/>
  <c r="P11" i="46"/>
  <c r="O11" i="46"/>
  <c r="L11" i="46"/>
  <c r="K11" i="46"/>
  <c r="J11" i="46"/>
  <c r="I11" i="46"/>
  <c r="H11" i="46"/>
  <c r="F11" i="46"/>
  <c r="E11" i="46"/>
  <c r="D11" i="46"/>
  <c r="C11" i="46"/>
  <c r="B11" i="46"/>
  <c r="AA10" i="46"/>
  <c r="T10" i="46"/>
  <c r="M10" i="46"/>
  <c r="G10" i="46"/>
  <c r="AA9" i="46"/>
  <c r="T9" i="46"/>
  <c r="M9" i="46"/>
  <c r="G9" i="46"/>
  <c r="AA8" i="46"/>
  <c r="T8" i="46"/>
  <c r="M8" i="46"/>
  <c r="G8" i="46"/>
  <c r="AA7" i="46"/>
  <c r="T7" i="46"/>
  <c r="M7" i="46"/>
  <c r="G7" i="46"/>
  <c r="AA6" i="46"/>
  <c r="T6" i="46"/>
  <c r="M6" i="46"/>
  <c r="G6" i="46"/>
  <c r="AD42" i="44"/>
  <c r="AE42" i="44"/>
  <c r="AC42" i="44"/>
  <c r="AD43" i="44"/>
  <c r="AB42" i="44"/>
  <c r="U42" i="44"/>
  <c r="T42" i="44"/>
  <c r="N42" i="44"/>
  <c r="T37" i="44"/>
  <c r="G42" i="44"/>
  <c r="N37" i="44"/>
  <c r="Z43" i="45"/>
  <c r="Y43" i="45"/>
  <c r="X43" i="45"/>
  <c r="W43" i="45"/>
  <c r="V43" i="45"/>
  <c r="AA42" i="45"/>
  <c r="AA41" i="45"/>
  <c r="S43" i="45"/>
  <c r="R43" i="45"/>
  <c r="Q43" i="45"/>
  <c r="P43" i="45"/>
  <c r="O43" i="45"/>
  <c r="T42" i="45"/>
  <c r="T41" i="45"/>
  <c r="Z38" i="45"/>
  <c r="Y38" i="45"/>
  <c r="X38" i="45"/>
  <c r="W38" i="45"/>
  <c r="V38" i="45"/>
  <c r="AA37" i="45"/>
  <c r="AA36" i="45"/>
  <c r="AA35" i="45"/>
  <c r="AA34" i="45"/>
  <c r="AA33" i="45"/>
  <c r="AA31" i="45"/>
  <c r="AA30" i="45"/>
  <c r="AA29" i="45"/>
  <c r="AA28" i="45"/>
  <c r="S38" i="45"/>
  <c r="Q38" i="45"/>
  <c r="P38" i="45"/>
  <c r="O38" i="45"/>
  <c r="T37" i="45"/>
  <c r="T36" i="45"/>
  <c r="T35" i="45"/>
  <c r="T34" i="45"/>
  <c r="T33" i="45"/>
  <c r="T31" i="45"/>
  <c r="T30" i="45"/>
  <c r="T29" i="45"/>
  <c r="T28" i="45"/>
  <c r="Z25" i="45"/>
  <c r="Y25" i="45"/>
  <c r="X25" i="45"/>
  <c r="W25" i="45"/>
  <c r="V25" i="45"/>
  <c r="AA24" i="45"/>
  <c r="AA23" i="45"/>
  <c r="AA22" i="45"/>
  <c r="AA21" i="45"/>
  <c r="AA20" i="45"/>
  <c r="AA19" i="45"/>
  <c r="AA18" i="45"/>
  <c r="AA17" i="45"/>
  <c r="AA16" i="45"/>
  <c r="AA15" i="45"/>
  <c r="AA14" i="45"/>
  <c r="S25" i="45"/>
  <c r="Q25" i="45"/>
  <c r="P25" i="45"/>
  <c r="O25" i="45"/>
  <c r="T24" i="45"/>
  <c r="T23" i="45"/>
  <c r="T22" i="45"/>
  <c r="T21" i="45"/>
  <c r="T20" i="45"/>
  <c r="T19" i="45"/>
  <c r="T18" i="45"/>
  <c r="T17" i="45"/>
  <c r="T16" i="45"/>
  <c r="T15" i="45"/>
  <c r="T14" i="45"/>
  <c r="Z11" i="45"/>
  <c r="Y11" i="45"/>
  <c r="X11" i="45"/>
  <c r="W11" i="45"/>
  <c r="V11" i="45"/>
  <c r="AA10" i="45"/>
  <c r="AA9" i="45"/>
  <c r="AA8" i="45"/>
  <c r="AA7" i="45"/>
  <c r="AA6" i="45"/>
  <c r="S11" i="45"/>
  <c r="R11" i="45"/>
  <c r="Q11" i="45"/>
  <c r="P11" i="45"/>
  <c r="O11" i="45"/>
  <c r="T10" i="45"/>
  <c r="T9" i="45"/>
  <c r="T8" i="45"/>
  <c r="T7" i="45"/>
  <c r="T6" i="45"/>
  <c r="M42" i="44"/>
  <c r="M43" i="38"/>
  <c r="M43" i="37"/>
  <c r="X43" i="44"/>
  <c r="W43" i="44"/>
  <c r="S42" i="44"/>
  <c r="R42" i="44"/>
  <c r="Q42" i="44"/>
  <c r="P42" i="44"/>
  <c r="O42" i="44"/>
  <c r="L42" i="44"/>
  <c r="K42" i="44"/>
  <c r="J42" i="44"/>
  <c r="I42" i="44"/>
  <c r="H42" i="44"/>
  <c r="F42" i="44"/>
  <c r="E42" i="44"/>
  <c r="D42" i="44"/>
  <c r="C42" i="44"/>
  <c r="B42" i="44"/>
  <c r="Z42" i="40"/>
  <c r="Y42" i="40"/>
  <c r="X42" i="40"/>
  <c r="X43" i="40" s="1"/>
  <c r="W42" i="40"/>
  <c r="W43" i="40" s="1"/>
  <c r="V42" i="40"/>
  <c r="V43" i="40" s="1"/>
  <c r="S42" i="40"/>
  <c r="R42" i="40"/>
  <c r="Q42" i="40"/>
  <c r="P42" i="40"/>
  <c r="O42" i="40"/>
  <c r="L42" i="40"/>
  <c r="K42" i="40"/>
  <c r="J42" i="40"/>
  <c r="I42" i="40"/>
  <c r="H42" i="40"/>
  <c r="F42" i="40"/>
  <c r="E42" i="40"/>
  <c r="D42" i="40"/>
  <c r="C42" i="40"/>
  <c r="B42" i="40"/>
  <c r="Z42" i="39"/>
  <c r="Z43" i="39" s="1"/>
  <c r="Y42" i="39"/>
  <c r="Y43" i="39" s="1"/>
  <c r="X42" i="39"/>
  <c r="X43" i="39" s="1"/>
  <c r="W42" i="39"/>
  <c r="W43" i="39" s="1"/>
  <c r="V42" i="39"/>
  <c r="V43" i="39" s="1"/>
  <c r="S42" i="39"/>
  <c r="R42" i="39"/>
  <c r="Q42" i="39"/>
  <c r="P42" i="39"/>
  <c r="O42" i="39"/>
  <c r="L42" i="39"/>
  <c r="K42" i="39"/>
  <c r="J42" i="39"/>
  <c r="I42" i="39"/>
  <c r="H42" i="39"/>
  <c r="F42" i="39"/>
  <c r="E42" i="39"/>
  <c r="D42" i="39"/>
  <c r="C42" i="39"/>
  <c r="B42" i="39"/>
  <c r="Z42" i="38"/>
  <c r="Z43" i="38" s="1"/>
  <c r="Y42" i="38"/>
  <c r="X42" i="38"/>
  <c r="W42" i="38"/>
  <c r="V42" i="38"/>
  <c r="V43" i="38" s="1"/>
  <c r="S42" i="38"/>
  <c r="R42" i="38"/>
  <c r="Q42" i="38"/>
  <c r="P42" i="38"/>
  <c r="O42" i="38"/>
  <c r="L42" i="38"/>
  <c r="K42" i="38"/>
  <c r="J42" i="38"/>
  <c r="I42" i="38"/>
  <c r="H42" i="38"/>
  <c r="F42" i="38"/>
  <c r="E42" i="38"/>
  <c r="D42" i="38"/>
  <c r="C42" i="38"/>
  <c r="B42" i="38"/>
  <c r="N42" i="37"/>
  <c r="V43" i="37"/>
  <c r="Z42" i="37"/>
  <c r="Y42" i="37"/>
  <c r="X42" i="37"/>
  <c r="W42" i="37"/>
  <c r="V42" i="37"/>
  <c r="S42" i="37"/>
  <c r="R42" i="37"/>
  <c r="Q42" i="37"/>
  <c r="P42" i="37"/>
  <c r="O42" i="37"/>
  <c r="L42" i="37"/>
  <c r="K42" i="37"/>
  <c r="J42" i="37"/>
  <c r="I42" i="37"/>
  <c r="H42" i="37"/>
  <c r="H43" i="37" s="1"/>
  <c r="K43" i="37"/>
  <c r="F42" i="37"/>
  <c r="E42" i="37"/>
  <c r="D42" i="37"/>
  <c r="C42" i="37"/>
  <c r="B42" i="37"/>
  <c r="G43" i="37"/>
  <c r="G34" i="45"/>
  <c r="G35" i="45"/>
  <c r="G36" i="45"/>
  <c r="I43" i="45"/>
  <c r="J43" i="45"/>
  <c r="K43" i="45"/>
  <c r="L43" i="45"/>
  <c r="H43" i="45"/>
  <c r="C43" i="45"/>
  <c r="D43" i="45"/>
  <c r="E43" i="45"/>
  <c r="F43" i="45"/>
  <c r="B43" i="45"/>
  <c r="AD43" i="45"/>
  <c r="AE43" i="45"/>
  <c r="AC43" i="45"/>
  <c r="AD38" i="45"/>
  <c r="AD25" i="45"/>
  <c r="AE25" i="45"/>
  <c r="AC25" i="45"/>
  <c r="AE11" i="45"/>
  <c r="AD11" i="45"/>
  <c r="M35" i="45"/>
  <c r="M36" i="45"/>
  <c r="M37" i="45"/>
  <c r="G41" i="45"/>
  <c r="M41" i="45"/>
  <c r="N41" i="45" s="1"/>
  <c r="M6" i="45"/>
  <c r="M7" i="45"/>
  <c r="M8" i="45"/>
  <c r="M9" i="45"/>
  <c r="M10" i="45"/>
  <c r="M42" i="45"/>
  <c r="M43" i="45" s="1"/>
  <c r="G42" i="45"/>
  <c r="L38" i="45"/>
  <c r="K38" i="45"/>
  <c r="J38" i="45"/>
  <c r="I38" i="45"/>
  <c r="H38" i="45"/>
  <c r="F38" i="45"/>
  <c r="E38" i="45"/>
  <c r="D38" i="45"/>
  <c r="C38" i="45"/>
  <c r="B38" i="45"/>
  <c r="G37" i="45"/>
  <c r="M30" i="45"/>
  <c r="G30" i="45"/>
  <c r="N30" i="45" s="1"/>
  <c r="M29" i="45"/>
  <c r="G29" i="45"/>
  <c r="M28" i="45"/>
  <c r="G28" i="45"/>
  <c r="L25" i="45"/>
  <c r="K25" i="45"/>
  <c r="J25" i="45"/>
  <c r="I25" i="45"/>
  <c r="H25" i="45"/>
  <c r="F25" i="45"/>
  <c r="E25" i="45"/>
  <c r="D25" i="45"/>
  <c r="C25" i="45"/>
  <c r="B25" i="45"/>
  <c r="M24" i="45"/>
  <c r="G24" i="45"/>
  <c r="N24" i="45" s="1"/>
  <c r="M23" i="45"/>
  <c r="G23" i="45"/>
  <c r="M22" i="45"/>
  <c r="G22" i="45"/>
  <c r="M21" i="45"/>
  <c r="G21" i="45"/>
  <c r="M20" i="45"/>
  <c r="G20" i="45"/>
  <c r="M19" i="45"/>
  <c r="G19" i="45"/>
  <c r="M18" i="45"/>
  <c r="G18" i="45"/>
  <c r="M17" i="45"/>
  <c r="G17" i="45"/>
  <c r="M16" i="45"/>
  <c r="G16" i="45"/>
  <c r="M15" i="45"/>
  <c r="G15" i="45"/>
  <c r="M14" i="45"/>
  <c r="G14" i="45"/>
  <c r="L11" i="45"/>
  <c r="K11" i="45"/>
  <c r="J11" i="45"/>
  <c r="I11" i="45"/>
  <c r="H11" i="45"/>
  <c r="F11" i="45"/>
  <c r="E11" i="45"/>
  <c r="D11" i="45"/>
  <c r="C11" i="45"/>
  <c r="B11" i="45"/>
  <c r="G10" i="45"/>
  <c r="G9" i="45"/>
  <c r="G8" i="45"/>
  <c r="G7" i="45"/>
  <c r="G6" i="45"/>
  <c r="AE43" i="44"/>
  <c r="AC43" i="44"/>
  <c r="AA43" i="44"/>
  <c r="Z43" i="44"/>
  <c r="Y43" i="44"/>
  <c r="V43" i="44"/>
  <c r="T41" i="44"/>
  <c r="M41" i="44"/>
  <c r="G41" i="44"/>
  <c r="S37" i="44"/>
  <c r="S43" i="44" s="1"/>
  <c r="R37" i="44"/>
  <c r="R43" i="44" s="1"/>
  <c r="Q37" i="44"/>
  <c r="Q43" i="44" s="1"/>
  <c r="P37" i="44"/>
  <c r="P43" i="44" s="1"/>
  <c r="O37" i="44"/>
  <c r="L37" i="44"/>
  <c r="K37" i="44"/>
  <c r="J37" i="44"/>
  <c r="I37" i="44"/>
  <c r="H37" i="44"/>
  <c r="F37" i="44"/>
  <c r="E37" i="44"/>
  <c r="D37" i="44"/>
  <c r="C37" i="44"/>
  <c r="B37" i="44"/>
  <c r="T36" i="44"/>
  <c r="M36" i="44"/>
  <c r="G36" i="44"/>
  <c r="T34" i="44"/>
  <c r="M34" i="44"/>
  <c r="G34" i="44"/>
  <c r="T33" i="44"/>
  <c r="M33" i="44"/>
  <c r="G33" i="44"/>
  <c r="T32" i="44"/>
  <c r="M32" i="44"/>
  <c r="G32" i="44"/>
  <c r="T31" i="44"/>
  <c r="M31" i="44"/>
  <c r="G31" i="44"/>
  <c r="T30" i="44"/>
  <c r="M30" i="44"/>
  <c r="G30" i="44"/>
  <c r="T29" i="44"/>
  <c r="M29" i="44"/>
  <c r="G29" i="44"/>
  <c r="T28" i="44"/>
  <c r="M28" i="44"/>
  <c r="G28" i="44"/>
  <c r="S25" i="44"/>
  <c r="R25" i="44"/>
  <c r="Q25" i="44"/>
  <c r="P25" i="44"/>
  <c r="O25" i="44"/>
  <c r="L25" i="44"/>
  <c r="K25" i="44"/>
  <c r="J25" i="44"/>
  <c r="I25" i="44"/>
  <c r="H25" i="44"/>
  <c r="F25" i="44"/>
  <c r="E25" i="44"/>
  <c r="D25" i="44"/>
  <c r="C25" i="44"/>
  <c r="B25" i="44"/>
  <c r="T24" i="44"/>
  <c r="M24" i="44"/>
  <c r="G24" i="44"/>
  <c r="T23" i="44"/>
  <c r="M23" i="44"/>
  <c r="G23" i="44"/>
  <c r="T22" i="44"/>
  <c r="M22" i="44"/>
  <c r="G22" i="44"/>
  <c r="T21" i="44"/>
  <c r="M21" i="44"/>
  <c r="G21" i="44"/>
  <c r="T20" i="44"/>
  <c r="M20" i="44"/>
  <c r="G20" i="44"/>
  <c r="T19" i="44"/>
  <c r="M19" i="44"/>
  <c r="G19" i="44"/>
  <c r="T18" i="44"/>
  <c r="M18" i="44"/>
  <c r="G18" i="44"/>
  <c r="T17" i="44"/>
  <c r="M17" i="44"/>
  <c r="G17" i="44"/>
  <c r="T16" i="44"/>
  <c r="M16" i="44"/>
  <c r="G16" i="44"/>
  <c r="T15" i="44"/>
  <c r="M15" i="44"/>
  <c r="G15" i="44"/>
  <c r="T14" i="44"/>
  <c r="M14" i="44"/>
  <c r="G14" i="44"/>
  <c r="S11" i="44"/>
  <c r="R11" i="44"/>
  <c r="Q11" i="44"/>
  <c r="P11" i="44"/>
  <c r="O11" i="44"/>
  <c r="L11" i="44"/>
  <c r="K11" i="44"/>
  <c r="J11" i="44"/>
  <c r="I11" i="44"/>
  <c r="I43" i="44" s="1"/>
  <c r="H11" i="44"/>
  <c r="H43" i="44" s="1"/>
  <c r="F11" i="44"/>
  <c r="E11" i="44"/>
  <c r="D11" i="44"/>
  <c r="C11" i="44"/>
  <c r="B11" i="44"/>
  <c r="T10" i="44"/>
  <c r="M10" i="44"/>
  <c r="G10" i="44"/>
  <c r="T9" i="44"/>
  <c r="M9" i="44"/>
  <c r="G9" i="44"/>
  <c r="T8" i="44"/>
  <c r="M8" i="44"/>
  <c r="G8" i="44"/>
  <c r="T7" i="44"/>
  <c r="M7" i="44"/>
  <c r="G7" i="44"/>
  <c r="T6" i="44"/>
  <c r="M6" i="44"/>
  <c r="G6" i="44"/>
  <c r="AE43" i="40"/>
  <c r="AD43" i="40"/>
  <c r="AC43" i="40"/>
  <c r="AA43" i="40"/>
  <c r="AB43" i="40" s="1"/>
  <c r="Z43" i="40"/>
  <c r="Y43" i="40"/>
  <c r="T43" i="40"/>
  <c r="M43" i="40"/>
  <c r="AE42" i="40"/>
  <c r="AD42" i="40"/>
  <c r="AC42" i="40"/>
  <c r="AB42" i="40"/>
  <c r="U42" i="40"/>
  <c r="N42" i="40"/>
  <c r="AB41" i="40"/>
  <c r="U41" i="40"/>
  <c r="N41" i="40"/>
  <c r="AB40" i="40"/>
  <c r="U40" i="40"/>
  <c r="N40" i="40"/>
  <c r="AB37" i="40"/>
  <c r="U37" i="40"/>
  <c r="S37" i="40"/>
  <c r="R37" i="40"/>
  <c r="Q37" i="40"/>
  <c r="P37" i="40"/>
  <c r="O37" i="40"/>
  <c r="N37" i="40"/>
  <c r="L37" i="40"/>
  <c r="K37" i="40"/>
  <c r="J37" i="40"/>
  <c r="I37" i="40"/>
  <c r="H37" i="40"/>
  <c r="F37" i="40"/>
  <c r="E37" i="40"/>
  <c r="D37" i="40"/>
  <c r="C37" i="40"/>
  <c r="B37" i="40"/>
  <c r="AB36" i="40"/>
  <c r="U36" i="40"/>
  <c r="N36" i="40"/>
  <c r="AB35" i="40"/>
  <c r="U35" i="40"/>
  <c r="N35" i="40"/>
  <c r="AB34" i="40"/>
  <c r="U34" i="40"/>
  <c r="N34" i="40"/>
  <c r="AB33" i="40"/>
  <c r="U33" i="40"/>
  <c r="N33" i="40"/>
  <c r="AB32" i="40"/>
  <c r="U32" i="40"/>
  <c r="N32" i="40"/>
  <c r="AB31" i="40"/>
  <c r="U31" i="40"/>
  <c r="N31" i="40"/>
  <c r="AB30" i="40"/>
  <c r="U30" i="40"/>
  <c r="N30" i="40"/>
  <c r="AB29" i="40"/>
  <c r="U29" i="40"/>
  <c r="N29" i="40"/>
  <c r="AB28" i="40"/>
  <c r="U28" i="40"/>
  <c r="N28" i="40"/>
  <c r="AB25" i="40"/>
  <c r="U25" i="40"/>
  <c r="S25" i="40"/>
  <c r="R25" i="40"/>
  <c r="Q25" i="40"/>
  <c r="P25" i="40"/>
  <c r="O25" i="40"/>
  <c r="N25" i="40"/>
  <c r="L25" i="40"/>
  <c r="K25" i="40"/>
  <c r="J25" i="40"/>
  <c r="I25" i="40"/>
  <c r="H25" i="40"/>
  <c r="F25" i="40"/>
  <c r="E25" i="40"/>
  <c r="D25" i="40"/>
  <c r="C25" i="40"/>
  <c r="B25" i="40"/>
  <c r="AB24" i="40"/>
  <c r="U24" i="40"/>
  <c r="N24" i="40"/>
  <c r="AB23" i="40"/>
  <c r="U23" i="40"/>
  <c r="N23" i="40"/>
  <c r="AB22" i="40"/>
  <c r="U22" i="40"/>
  <c r="N22" i="40"/>
  <c r="AB21" i="40"/>
  <c r="U21" i="40"/>
  <c r="N21" i="40"/>
  <c r="AB20" i="40"/>
  <c r="U20" i="40"/>
  <c r="N20" i="40"/>
  <c r="AB19" i="40"/>
  <c r="U19" i="40"/>
  <c r="N19" i="40"/>
  <c r="AB18" i="40"/>
  <c r="U18" i="40"/>
  <c r="N18" i="40"/>
  <c r="AB17" i="40"/>
  <c r="U17" i="40"/>
  <c r="N17" i="40"/>
  <c r="AB16" i="40"/>
  <c r="U16" i="40"/>
  <c r="N16" i="40"/>
  <c r="AB15" i="40"/>
  <c r="U15" i="40"/>
  <c r="N15" i="40"/>
  <c r="AB14" i="40"/>
  <c r="U14" i="40"/>
  <c r="N14" i="40"/>
  <c r="AB11" i="40"/>
  <c r="U11" i="40"/>
  <c r="S11" i="40"/>
  <c r="S43" i="40" s="1"/>
  <c r="R11" i="40"/>
  <c r="Q11" i="40"/>
  <c r="P11" i="40"/>
  <c r="O11" i="40"/>
  <c r="N11" i="40"/>
  <c r="L11" i="40"/>
  <c r="K11" i="40"/>
  <c r="J11" i="40"/>
  <c r="I11" i="40"/>
  <c r="H11" i="40"/>
  <c r="F11" i="40"/>
  <c r="E11" i="40"/>
  <c r="D11" i="40"/>
  <c r="C11" i="40"/>
  <c r="B11" i="40"/>
  <c r="AB10" i="40"/>
  <c r="U10" i="40"/>
  <c r="N10" i="40"/>
  <c r="AB9" i="40"/>
  <c r="U9" i="40"/>
  <c r="N9" i="40"/>
  <c r="AB8" i="40"/>
  <c r="U8" i="40"/>
  <c r="N8" i="40"/>
  <c r="AB7" i="40"/>
  <c r="U7" i="40"/>
  <c r="N7" i="40"/>
  <c r="AB6" i="40"/>
  <c r="U6" i="40"/>
  <c r="N6" i="40"/>
  <c r="AD43" i="39"/>
  <c r="AA43" i="39"/>
  <c r="T43" i="39"/>
  <c r="U43" i="39" s="1"/>
  <c r="Q43" i="39"/>
  <c r="M43" i="39"/>
  <c r="AB42" i="39"/>
  <c r="U42" i="39"/>
  <c r="N42" i="39"/>
  <c r="AB41" i="39"/>
  <c r="U41" i="39"/>
  <c r="N41" i="39"/>
  <c r="AB40" i="39"/>
  <c r="U40" i="39"/>
  <c r="N40" i="39"/>
  <c r="AE37" i="39"/>
  <c r="AC37" i="39"/>
  <c r="AC43" i="39" s="1"/>
  <c r="AB37" i="39"/>
  <c r="U37" i="39"/>
  <c r="S37" i="39"/>
  <c r="R37" i="39"/>
  <c r="Q37" i="39"/>
  <c r="P37" i="39"/>
  <c r="O37" i="39"/>
  <c r="N37" i="39"/>
  <c r="L37" i="39"/>
  <c r="K37" i="39"/>
  <c r="J37" i="39"/>
  <c r="I37" i="39"/>
  <c r="H37" i="39"/>
  <c r="F37" i="39"/>
  <c r="E37" i="39"/>
  <c r="D37" i="39"/>
  <c r="C37" i="39"/>
  <c r="B37" i="39"/>
  <c r="AB36" i="39"/>
  <c r="U36" i="39"/>
  <c r="N36" i="39"/>
  <c r="AB35" i="39"/>
  <c r="U35" i="39"/>
  <c r="N35" i="39"/>
  <c r="AB34" i="39"/>
  <c r="U34" i="39"/>
  <c r="N34" i="39"/>
  <c r="AB33" i="39"/>
  <c r="U33" i="39"/>
  <c r="N33" i="39"/>
  <c r="AB32" i="39"/>
  <c r="U32" i="39"/>
  <c r="N32" i="39"/>
  <c r="AB31" i="39"/>
  <c r="U31" i="39"/>
  <c r="N31" i="39"/>
  <c r="AB30" i="39"/>
  <c r="U30" i="39"/>
  <c r="N30" i="39"/>
  <c r="AB29" i="39"/>
  <c r="U29" i="39"/>
  <c r="N29" i="39"/>
  <c r="AB28" i="39"/>
  <c r="U28" i="39"/>
  <c r="N28" i="39"/>
  <c r="AB25" i="39"/>
  <c r="U25" i="39"/>
  <c r="S25" i="39"/>
  <c r="S43" i="39" s="1"/>
  <c r="R25" i="39"/>
  <c r="Q25" i="39"/>
  <c r="P25" i="39"/>
  <c r="O25" i="39"/>
  <c r="N25" i="39"/>
  <c r="L25" i="39"/>
  <c r="K25" i="39"/>
  <c r="J25" i="39"/>
  <c r="I25" i="39"/>
  <c r="H25" i="39"/>
  <c r="F25" i="39"/>
  <c r="E25" i="39"/>
  <c r="D25" i="39"/>
  <c r="C25" i="39"/>
  <c r="B25" i="39"/>
  <c r="AB24" i="39"/>
  <c r="U24" i="39"/>
  <c r="N24" i="39"/>
  <c r="AB23" i="39"/>
  <c r="U23" i="39"/>
  <c r="N23" i="39"/>
  <c r="AB22" i="39"/>
  <c r="U22" i="39"/>
  <c r="N22" i="39"/>
  <c r="AB21" i="39"/>
  <c r="U21" i="39"/>
  <c r="N21" i="39"/>
  <c r="AB20" i="39"/>
  <c r="U20" i="39"/>
  <c r="N20" i="39"/>
  <c r="AB19" i="39"/>
  <c r="U19" i="39"/>
  <c r="N19" i="39"/>
  <c r="AB18" i="39"/>
  <c r="U18" i="39"/>
  <c r="N18" i="39"/>
  <c r="AB17" i="39"/>
  <c r="U17" i="39"/>
  <c r="N17" i="39"/>
  <c r="AB16" i="39"/>
  <c r="U16" i="39"/>
  <c r="N16" i="39"/>
  <c r="AB15" i="39"/>
  <c r="U15" i="39"/>
  <c r="N15" i="39"/>
  <c r="AB14" i="39"/>
  <c r="U14" i="39"/>
  <c r="N14" i="39"/>
  <c r="AB11" i="39"/>
  <c r="U11" i="39"/>
  <c r="S11" i="39"/>
  <c r="R11" i="39"/>
  <c r="Q11" i="39"/>
  <c r="P11" i="39"/>
  <c r="P43" i="39" s="1"/>
  <c r="O11" i="39"/>
  <c r="O43" i="39" s="1"/>
  <c r="N11" i="39"/>
  <c r="L11" i="39"/>
  <c r="K11" i="39"/>
  <c r="J11" i="39"/>
  <c r="I11" i="39"/>
  <c r="H11" i="39"/>
  <c r="F11" i="39"/>
  <c r="E11" i="39"/>
  <c r="D11" i="39"/>
  <c r="C11" i="39"/>
  <c r="B11" i="39"/>
  <c r="AB10" i="39"/>
  <c r="U10" i="39"/>
  <c r="N10" i="39"/>
  <c r="AB9" i="39"/>
  <c r="U9" i="39"/>
  <c r="N9" i="39"/>
  <c r="AB8" i="39"/>
  <c r="U8" i="39"/>
  <c r="N8" i="39"/>
  <c r="AB7" i="39"/>
  <c r="U7" i="39"/>
  <c r="N7" i="39"/>
  <c r="AB6" i="39"/>
  <c r="U6" i="39"/>
  <c r="N6" i="39"/>
  <c r="AE43" i="38"/>
  <c r="Y43" i="38"/>
  <c r="X43" i="38"/>
  <c r="W43" i="38"/>
  <c r="AD42" i="38"/>
  <c r="AC42" i="38"/>
  <c r="AC43" i="38" s="1"/>
  <c r="AA42" i="38"/>
  <c r="AA43" i="38" s="1"/>
  <c r="T42" i="38"/>
  <c r="T43" i="38" s="1"/>
  <c r="N42" i="38"/>
  <c r="AB41" i="38"/>
  <c r="U41" i="38"/>
  <c r="N41" i="38"/>
  <c r="AB40" i="38"/>
  <c r="U40" i="38"/>
  <c r="N40" i="38"/>
  <c r="AB37" i="38"/>
  <c r="U37" i="38"/>
  <c r="S37" i="38"/>
  <c r="R37" i="38"/>
  <c r="Q37" i="38"/>
  <c r="P37" i="38"/>
  <c r="O37" i="38"/>
  <c r="N37" i="38"/>
  <c r="L37" i="38"/>
  <c r="K37" i="38"/>
  <c r="J37" i="38"/>
  <c r="I37" i="38"/>
  <c r="H37" i="38"/>
  <c r="F37" i="38"/>
  <c r="E37" i="38"/>
  <c r="D37" i="38"/>
  <c r="C37" i="38"/>
  <c r="B37" i="38"/>
  <c r="AB36" i="38"/>
  <c r="U36" i="38"/>
  <c r="N36" i="38"/>
  <c r="AB35" i="38"/>
  <c r="U35" i="38"/>
  <c r="N35" i="38"/>
  <c r="AB34" i="38"/>
  <c r="U34" i="38"/>
  <c r="N34" i="38"/>
  <c r="AB33" i="38"/>
  <c r="U33" i="38"/>
  <c r="N33" i="38"/>
  <c r="AB32" i="38"/>
  <c r="U32" i="38"/>
  <c r="N32" i="38"/>
  <c r="AB31" i="38"/>
  <c r="U31" i="38"/>
  <c r="N31" i="38"/>
  <c r="AB30" i="38"/>
  <c r="U30" i="38"/>
  <c r="N30" i="38"/>
  <c r="AB29" i="38"/>
  <c r="U29" i="38"/>
  <c r="N29" i="38"/>
  <c r="AB28" i="38"/>
  <c r="U28" i="38"/>
  <c r="N28" i="38"/>
  <c r="AB25" i="38"/>
  <c r="U25" i="38"/>
  <c r="S25" i="38"/>
  <c r="R25" i="38"/>
  <c r="Q25" i="38"/>
  <c r="P25" i="38"/>
  <c r="O25" i="38"/>
  <c r="N25" i="38"/>
  <c r="L25" i="38"/>
  <c r="K25" i="38"/>
  <c r="J25" i="38"/>
  <c r="I25" i="38"/>
  <c r="H25" i="38"/>
  <c r="F25" i="38"/>
  <c r="E25" i="38"/>
  <c r="D25" i="38"/>
  <c r="C25" i="38"/>
  <c r="B25" i="38"/>
  <c r="AB24" i="38"/>
  <c r="U24" i="38"/>
  <c r="N24" i="38"/>
  <c r="AB23" i="38"/>
  <c r="U23" i="38"/>
  <c r="N23" i="38"/>
  <c r="AB22" i="38"/>
  <c r="U22" i="38"/>
  <c r="N22" i="38"/>
  <c r="AB21" i="38"/>
  <c r="U21" i="38"/>
  <c r="N21" i="38"/>
  <c r="AB20" i="38"/>
  <c r="U20" i="38"/>
  <c r="N20" i="38"/>
  <c r="AB19" i="38"/>
  <c r="U19" i="38"/>
  <c r="N19" i="38"/>
  <c r="AB18" i="38"/>
  <c r="U18" i="38"/>
  <c r="N18" i="38"/>
  <c r="AB17" i="38"/>
  <c r="U17" i="38"/>
  <c r="N17" i="38"/>
  <c r="AB16" i="38"/>
  <c r="U16" i="38"/>
  <c r="N16" i="38"/>
  <c r="AB15" i="38"/>
  <c r="U15" i="38"/>
  <c r="N15" i="38"/>
  <c r="AB14" i="38"/>
  <c r="U14" i="38"/>
  <c r="N14" i="38"/>
  <c r="AB11" i="38"/>
  <c r="U11" i="38"/>
  <c r="S11" i="38"/>
  <c r="R11" i="38"/>
  <c r="Q11" i="38"/>
  <c r="P11" i="38"/>
  <c r="P43" i="38" s="1"/>
  <c r="O11" i="38"/>
  <c r="O43" i="38" s="1"/>
  <c r="N11" i="38"/>
  <c r="L11" i="38"/>
  <c r="K11" i="38"/>
  <c r="J11" i="38"/>
  <c r="I11" i="38"/>
  <c r="H11" i="38"/>
  <c r="F11" i="38"/>
  <c r="E11" i="38"/>
  <c r="D11" i="38"/>
  <c r="C11" i="38"/>
  <c r="B11" i="38"/>
  <c r="AB10" i="38"/>
  <c r="U10" i="38"/>
  <c r="N10" i="38"/>
  <c r="AB9" i="38"/>
  <c r="U9" i="38"/>
  <c r="N9" i="38"/>
  <c r="AB8" i="38"/>
  <c r="U8" i="38"/>
  <c r="N8" i="38"/>
  <c r="AB7" i="38"/>
  <c r="U7" i="38"/>
  <c r="N7" i="38"/>
  <c r="AB6" i="38"/>
  <c r="U6" i="38"/>
  <c r="N6" i="38"/>
  <c r="Z43" i="37"/>
  <c r="Y43" i="37"/>
  <c r="X43" i="37"/>
  <c r="W43" i="37"/>
  <c r="L43" i="37"/>
  <c r="AE42" i="37"/>
  <c r="AD42" i="37"/>
  <c r="AC42" i="37"/>
  <c r="AA42" i="37"/>
  <c r="T42" i="37"/>
  <c r="M42" i="37"/>
  <c r="G42" i="37"/>
  <c r="AB41" i="37"/>
  <c r="U41" i="37"/>
  <c r="N41" i="37"/>
  <c r="AB40" i="37"/>
  <c r="U40" i="37"/>
  <c r="N40" i="37"/>
  <c r="AE37" i="37"/>
  <c r="AD37" i="37"/>
  <c r="AC37" i="37"/>
  <c r="AA37" i="37"/>
  <c r="T37" i="37"/>
  <c r="S37" i="37"/>
  <c r="R37" i="37"/>
  <c r="Q37" i="37"/>
  <c r="P37" i="37"/>
  <c r="O37" i="37"/>
  <c r="M37" i="37"/>
  <c r="L37" i="37"/>
  <c r="K37" i="37"/>
  <c r="J37" i="37"/>
  <c r="I37" i="37"/>
  <c r="H37" i="37"/>
  <c r="G37" i="37"/>
  <c r="F37" i="37"/>
  <c r="E37" i="37"/>
  <c r="D37" i="37"/>
  <c r="C37" i="37"/>
  <c r="B37" i="37"/>
  <c r="AB36" i="37"/>
  <c r="U36" i="37"/>
  <c r="N36" i="37"/>
  <c r="AB35" i="37"/>
  <c r="U35" i="37"/>
  <c r="N35" i="37"/>
  <c r="AB34" i="37"/>
  <c r="U34" i="37"/>
  <c r="N34" i="37"/>
  <c r="AB33" i="37"/>
  <c r="U33" i="37"/>
  <c r="N33" i="37"/>
  <c r="AB32" i="37"/>
  <c r="U32" i="37"/>
  <c r="N32" i="37"/>
  <c r="AB31" i="37"/>
  <c r="U31" i="37"/>
  <c r="N31" i="37"/>
  <c r="AB30" i="37"/>
  <c r="U30" i="37"/>
  <c r="N30" i="37"/>
  <c r="AB29" i="37"/>
  <c r="U29" i="37"/>
  <c r="N29" i="37"/>
  <c r="AB28" i="37"/>
  <c r="U28" i="37"/>
  <c r="N28" i="37"/>
  <c r="AE25" i="37"/>
  <c r="AD25" i="37"/>
  <c r="AC25" i="37"/>
  <c r="AA25" i="37"/>
  <c r="T25" i="37"/>
  <c r="T43" i="37" s="1"/>
  <c r="S25" i="37"/>
  <c r="R25" i="37"/>
  <c r="Q25" i="37"/>
  <c r="P25" i="37"/>
  <c r="O25" i="37"/>
  <c r="M25" i="37"/>
  <c r="L25" i="37"/>
  <c r="K25" i="37"/>
  <c r="J25" i="37"/>
  <c r="I25" i="37"/>
  <c r="H25" i="37"/>
  <c r="G25" i="37"/>
  <c r="F25" i="37"/>
  <c r="E25" i="37"/>
  <c r="D25" i="37"/>
  <c r="C25" i="37"/>
  <c r="B25" i="37"/>
  <c r="AB24" i="37"/>
  <c r="U24" i="37"/>
  <c r="N24" i="37"/>
  <c r="AB23" i="37"/>
  <c r="U23" i="37"/>
  <c r="N23" i="37"/>
  <c r="AB22" i="37"/>
  <c r="U22" i="37"/>
  <c r="N22" i="37"/>
  <c r="AB21" i="37"/>
  <c r="U21" i="37"/>
  <c r="N21" i="37"/>
  <c r="AB20" i="37"/>
  <c r="U20" i="37"/>
  <c r="N20" i="37"/>
  <c r="AB19" i="37"/>
  <c r="U19" i="37"/>
  <c r="N19" i="37"/>
  <c r="AB18" i="37"/>
  <c r="U18" i="37"/>
  <c r="N18" i="37"/>
  <c r="AB17" i="37"/>
  <c r="U17" i="37"/>
  <c r="N17" i="37"/>
  <c r="AB16" i="37"/>
  <c r="U16" i="37"/>
  <c r="N16" i="37"/>
  <c r="AB15" i="37"/>
  <c r="U15" i="37"/>
  <c r="N15" i="37"/>
  <c r="AB14" i="37"/>
  <c r="U14" i="37"/>
  <c r="N14" i="37"/>
  <c r="AE11" i="37"/>
  <c r="AD11" i="37"/>
  <c r="AC11" i="37"/>
  <c r="AA11" i="37"/>
  <c r="T11" i="37"/>
  <c r="U11" i="37" s="1"/>
  <c r="S11" i="37"/>
  <c r="R11" i="37"/>
  <c r="R43" i="37" s="1"/>
  <c r="Q11" i="37"/>
  <c r="Q43" i="37" s="1"/>
  <c r="P11" i="37"/>
  <c r="P43" i="37" s="1"/>
  <c r="O11" i="37"/>
  <c r="M11" i="37"/>
  <c r="L11" i="37"/>
  <c r="K11" i="37"/>
  <c r="J11" i="37"/>
  <c r="I11" i="37"/>
  <c r="H11" i="37"/>
  <c r="G11" i="37"/>
  <c r="F11" i="37"/>
  <c r="E11" i="37"/>
  <c r="D11" i="37"/>
  <c r="C11" i="37"/>
  <c r="B11" i="37"/>
  <c r="AB10" i="37"/>
  <c r="U10" i="37"/>
  <c r="N10" i="37"/>
  <c r="AB9" i="37"/>
  <c r="U9" i="37"/>
  <c r="N9" i="37"/>
  <c r="AB8" i="37"/>
  <c r="U8" i="37"/>
  <c r="N8" i="37"/>
  <c r="AB7" i="37"/>
  <c r="U7" i="37"/>
  <c r="N7" i="37"/>
  <c r="AB6" i="37"/>
  <c r="U6" i="37"/>
  <c r="N6" i="37"/>
  <c r="D3" i="24"/>
  <c r="BF50" i="50" l="1"/>
  <c r="E3" i="19"/>
  <c r="AO12" i="34"/>
  <c r="AG18" i="50"/>
  <c r="L16" i="9" s="1"/>
  <c r="T27" i="50"/>
  <c r="L25" i="10" s="1"/>
  <c r="T12" i="50"/>
  <c r="L10" i="10" s="1"/>
  <c r="T46" i="50"/>
  <c r="L48" i="10" s="1"/>
  <c r="C48" i="10" s="1"/>
  <c r="T47" i="50"/>
  <c r="L49" i="10" s="1"/>
  <c r="C49" i="10" s="1"/>
  <c r="L44" i="9"/>
  <c r="AG27" i="50"/>
  <c r="L25" i="9" s="1"/>
  <c r="T19" i="50"/>
  <c r="L17" i="10" s="1"/>
  <c r="T18" i="50"/>
  <c r="L16" i="10" s="1"/>
  <c r="T11" i="50"/>
  <c r="L9" i="10" s="1"/>
  <c r="AG11" i="50"/>
  <c r="L9" i="9" s="1"/>
  <c r="AN45" i="50"/>
  <c r="L46" i="11" s="1"/>
  <c r="C46" i="11" s="1"/>
  <c r="AG45" i="50"/>
  <c r="L46" i="9" s="1"/>
  <c r="C46" i="9" s="1"/>
  <c r="T10" i="50"/>
  <c r="L8" i="10" s="1"/>
  <c r="T45" i="50"/>
  <c r="L46" i="10" s="1"/>
  <c r="C46" i="10" s="1"/>
  <c r="AG10" i="50"/>
  <c r="L8" i="9" s="1"/>
  <c r="AG12" i="50"/>
  <c r="L10" i="9" s="1"/>
  <c r="L44" i="10"/>
  <c r="AG47" i="50"/>
  <c r="L49" i="9" s="1"/>
  <c r="C49" i="9" s="1"/>
  <c r="T55" i="50"/>
  <c r="L57" i="10" s="1"/>
  <c r="AG9" i="50"/>
  <c r="L7" i="9" s="1"/>
  <c r="T9" i="50"/>
  <c r="L7" i="10" s="1"/>
  <c r="AG55" i="50"/>
  <c r="L57" i="9" s="1"/>
  <c r="AG19" i="50"/>
  <c r="L17" i="9" s="1"/>
  <c r="AG48" i="50"/>
  <c r="L50" i="9" s="1"/>
  <c r="C50" i="9" s="1"/>
  <c r="AG54" i="50"/>
  <c r="T54" i="50"/>
  <c r="AG46" i="50"/>
  <c r="L48" i="9" s="1"/>
  <c r="C48" i="9" s="1"/>
  <c r="T48" i="50"/>
  <c r="L50" i="10" s="1"/>
  <c r="C50" i="10" s="1"/>
  <c r="E59" i="50"/>
  <c r="AF59" i="50"/>
  <c r="S59" i="50"/>
  <c r="BF56" i="50"/>
  <c r="AN27" i="50"/>
  <c r="L25" i="11" s="1"/>
  <c r="AN47" i="50"/>
  <c r="L49" i="11" s="1"/>
  <c r="C49" i="11" s="1"/>
  <c r="H50" i="50"/>
  <c r="AH50" i="50"/>
  <c r="AN46" i="50"/>
  <c r="G49" i="50"/>
  <c r="AP59" i="50"/>
  <c r="AS59" i="50"/>
  <c r="BC59" i="50"/>
  <c r="G56" i="50"/>
  <c r="H56" i="50"/>
  <c r="AT49" i="50"/>
  <c r="U50" i="50"/>
  <c r="U56" i="50"/>
  <c r="AN11" i="50"/>
  <c r="L9" i="11" s="1"/>
  <c r="BD59" i="50"/>
  <c r="AO50" i="50"/>
  <c r="BE59" i="50"/>
  <c r="AN48" i="50"/>
  <c r="L50" i="11" s="1"/>
  <c r="C50" i="11" s="1"/>
  <c r="AO56" i="50"/>
  <c r="AQ59" i="50"/>
  <c r="AR59" i="50"/>
  <c r="C59" i="50"/>
  <c r="AN19" i="50"/>
  <c r="L17" i="11" s="1"/>
  <c r="BF13" i="50"/>
  <c r="AY59" i="50"/>
  <c r="AN12" i="50"/>
  <c r="L10" i="11" s="1"/>
  <c r="AN10" i="50"/>
  <c r="L8" i="11" s="1"/>
  <c r="BA28" i="50"/>
  <c r="BF28" i="50"/>
  <c r="AT13" i="50"/>
  <c r="AM18" i="50"/>
  <c r="AN18" i="50" s="1"/>
  <c r="L16" i="11" s="1"/>
  <c r="AM55" i="50"/>
  <c r="AN55" i="50" s="1"/>
  <c r="L57" i="11" s="1"/>
  <c r="B28" i="50"/>
  <c r="E3" i="21" s="1"/>
  <c r="AZ28" i="50"/>
  <c r="G17" i="50"/>
  <c r="AN9" i="50"/>
  <c r="L7" i="11" s="1"/>
  <c r="U13" i="50"/>
  <c r="G8" i="50"/>
  <c r="B13" i="50"/>
  <c r="G3" i="18" s="1"/>
  <c r="R28" i="50"/>
  <c r="E3" i="22" s="1"/>
  <c r="H13" i="50"/>
  <c r="AM32" i="50"/>
  <c r="AN54" i="50"/>
  <c r="L56" i="11" s="1"/>
  <c r="AZ55" i="50"/>
  <c r="AZ56" i="50" s="1"/>
  <c r="AZ13" i="50"/>
  <c r="AV59" i="50"/>
  <c r="AT54" i="50"/>
  <c r="AM13" i="50"/>
  <c r="E4" i="19" s="1"/>
  <c r="AW59" i="50"/>
  <c r="AX59" i="50"/>
  <c r="AU50" i="50"/>
  <c r="AU59" i="50" s="1"/>
  <c r="AZ50" i="50"/>
  <c r="BA50" i="50"/>
  <c r="D59" i="50"/>
  <c r="AI59" i="50"/>
  <c r="BB59" i="50"/>
  <c r="AT18" i="50"/>
  <c r="BA56" i="50"/>
  <c r="AJ59" i="50"/>
  <c r="B50" i="50"/>
  <c r="E2" i="24" s="1"/>
  <c r="E7" i="24" s="1"/>
  <c r="F59" i="50"/>
  <c r="AK59" i="50"/>
  <c r="AL59" i="50"/>
  <c r="B56" i="50"/>
  <c r="BA13" i="50"/>
  <c r="G32" i="50"/>
  <c r="AH43" i="34"/>
  <c r="AC43" i="34"/>
  <c r="AH37" i="34"/>
  <c r="O43" i="34"/>
  <c r="AC26" i="34"/>
  <c r="AO43" i="34"/>
  <c r="H26" i="34"/>
  <c r="AT37" i="34"/>
  <c r="AO38" i="34"/>
  <c r="AI26" i="34"/>
  <c r="AG38" i="34"/>
  <c r="AG44" i="34" s="1"/>
  <c r="AN25" i="34"/>
  <c r="AT32" i="34"/>
  <c r="AO26" i="34"/>
  <c r="AP44" i="34"/>
  <c r="AN42" i="34"/>
  <c r="AN43" i="34" s="1"/>
  <c r="AT42" i="34"/>
  <c r="AT43" i="34" s="1"/>
  <c r="AC12" i="34"/>
  <c r="AI38" i="34"/>
  <c r="AC38" i="34"/>
  <c r="AT12" i="34"/>
  <c r="AK44" i="34"/>
  <c r="AL44" i="34"/>
  <c r="AM44" i="34"/>
  <c r="AJ44" i="34"/>
  <c r="AE44" i="34"/>
  <c r="AF44" i="34"/>
  <c r="AQ44" i="34"/>
  <c r="AR44" i="34"/>
  <c r="AS44" i="34"/>
  <c r="AT26" i="34"/>
  <c r="AD44" i="34"/>
  <c r="Z44" i="49"/>
  <c r="U18" i="49"/>
  <c r="N21" i="49"/>
  <c r="Y44" i="49"/>
  <c r="N10" i="49"/>
  <c r="R44" i="49"/>
  <c r="N34" i="49"/>
  <c r="X44" i="49"/>
  <c r="AB24" i="49"/>
  <c r="AA11" i="49"/>
  <c r="Q44" i="49"/>
  <c r="N16" i="49"/>
  <c r="J44" i="49"/>
  <c r="AA38" i="49"/>
  <c r="W44" i="49"/>
  <c r="U30" i="49"/>
  <c r="M38" i="49"/>
  <c r="I44" i="49"/>
  <c r="N20" i="49"/>
  <c r="AB8" i="49"/>
  <c r="U6" i="49"/>
  <c r="AB7" i="49"/>
  <c r="AB29" i="49"/>
  <c r="O44" i="49"/>
  <c r="H44" i="49"/>
  <c r="U42" i="49"/>
  <c r="U31" i="49"/>
  <c r="N31" i="49"/>
  <c r="U35" i="49"/>
  <c r="N37" i="49"/>
  <c r="U37" i="49"/>
  <c r="AB37" i="49"/>
  <c r="AB35" i="49"/>
  <c r="N42" i="49"/>
  <c r="T11" i="49"/>
  <c r="N35" i="49"/>
  <c r="AB14" i="49"/>
  <c r="T43" i="49"/>
  <c r="M25" i="49"/>
  <c r="N36" i="49"/>
  <c r="K44" i="49"/>
  <c r="U41" i="49"/>
  <c r="AB42" i="49"/>
  <c r="AA25" i="49"/>
  <c r="N9" i="49"/>
  <c r="L44" i="49"/>
  <c r="N41" i="49"/>
  <c r="T38" i="49"/>
  <c r="P44" i="49"/>
  <c r="AB15" i="49"/>
  <c r="U23" i="49"/>
  <c r="AB36" i="49"/>
  <c r="AA43" i="49"/>
  <c r="V44" i="49"/>
  <c r="AC44" i="49"/>
  <c r="AE44" i="49"/>
  <c r="AD44" i="49"/>
  <c r="N17" i="45"/>
  <c r="U24" i="48"/>
  <c r="AA43" i="48"/>
  <c r="U32" i="48"/>
  <c r="L44" i="48"/>
  <c r="U31" i="48"/>
  <c r="N32" i="48"/>
  <c r="AB32" i="48"/>
  <c r="U30" i="48"/>
  <c r="X44" i="48"/>
  <c r="U22" i="48"/>
  <c r="T11" i="48"/>
  <c r="J44" i="48"/>
  <c r="N42" i="48"/>
  <c r="AB34" i="48"/>
  <c r="U33" i="48"/>
  <c r="G38" i="48"/>
  <c r="N29" i="48"/>
  <c r="U29" i="48"/>
  <c r="W44" i="48"/>
  <c r="M11" i="48"/>
  <c r="T38" i="48"/>
  <c r="N28" i="48"/>
  <c r="N35" i="48"/>
  <c r="N33" i="48"/>
  <c r="AB33" i="48"/>
  <c r="AB29" i="48"/>
  <c r="U28" i="48"/>
  <c r="AB28" i="48"/>
  <c r="AD44" i="48"/>
  <c r="AC44" i="48"/>
  <c r="N23" i="48"/>
  <c r="K44" i="48"/>
  <c r="N31" i="48"/>
  <c r="U35" i="48"/>
  <c r="N6" i="48"/>
  <c r="AB35" i="48"/>
  <c r="G43" i="48"/>
  <c r="AB31" i="48"/>
  <c r="N36" i="48"/>
  <c r="AA11" i="48"/>
  <c r="AB16" i="48"/>
  <c r="AB24" i="48"/>
  <c r="Q44" i="48"/>
  <c r="U36" i="48"/>
  <c r="AB37" i="48"/>
  <c r="S44" i="48"/>
  <c r="O44" i="48"/>
  <c r="M38" i="48"/>
  <c r="N41" i="48"/>
  <c r="AB7" i="48"/>
  <c r="R44" i="48"/>
  <c r="AB36" i="48"/>
  <c r="N37" i="48"/>
  <c r="U37" i="48"/>
  <c r="Y44" i="48"/>
  <c r="N34" i="48"/>
  <c r="AA38" i="48"/>
  <c r="U42" i="48"/>
  <c r="N30" i="48"/>
  <c r="U34" i="48"/>
  <c r="AB42" i="48"/>
  <c r="T43" i="48"/>
  <c r="H44" i="48"/>
  <c r="I44" i="48"/>
  <c r="AE44" i="48"/>
  <c r="AB30" i="48"/>
  <c r="AB15" i="48"/>
  <c r="AB10" i="48"/>
  <c r="U14" i="48"/>
  <c r="P44" i="48"/>
  <c r="U9" i="48"/>
  <c r="U8" i="48"/>
  <c r="N20" i="48"/>
  <c r="Z44" i="47"/>
  <c r="S44" i="47"/>
  <c r="R44" i="47"/>
  <c r="N10" i="47"/>
  <c r="K44" i="47"/>
  <c r="U32" i="47"/>
  <c r="Q44" i="47"/>
  <c r="U31" i="47"/>
  <c r="AA38" i="47"/>
  <c r="N29" i="47"/>
  <c r="G43" i="47"/>
  <c r="AB35" i="47"/>
  <c r="N32" i="47"/>
  <c r="AB32" i="47"/>
  <c r="AB29" i="47"/>
  <c r="G38" i="47"/>
  <c r="W44" i="47"/>
  <c r="T25" i="47"/>
  <c r="N24" i="47"/>
  <c r="I44" i="47"/>
  <c r="AB34" i="47"/>
  <c r="AB30" i="47"/>
  <c r="N42" i="47"/>
  <c r="U42" i="47"/>
  <c r="AB42" i="47"/>
  <c r="N37" i="47"/>
  <c r="U37" i="47"/>
  <c r="AB37" i="47"/>
  <c r="N33" i="47"/>
  <c r="U29" i="47"/>
  <c r="U28" i="47"/>
  <c r="AB16" i="47"/>
  <c r="H44" i="47"/>
  <c r="M25" i="47"/>
  <c r="AB31" i="47"/>
  <c r="N36" i="47"/>
  <c r="N41" i="47"/>
  <c r="T11" i="47"/>
  <c r="AA11" i="47"/>
  <c r="AB28" i="47"/>
  <c r="U36" i="47"/>
  <c r="M38" i="47"/>
  <c r="U41" i="47"/>
  <c r="X44" i="47"/>
  <c r="AB41" i="47"/>
  <c r="Y44" i="47"/>
  <c r="U33" i="47"/>
  <c r="AB36" i="47"/>
  <c r="T38" i="47"/>
  <c r="N8" i="47"/>
  <c r="AA25" i="47"/>
  <c r="T43" i="47"/>
  <c r="N34" i="47"/>
  <c r="U9" i="47"/>
  <c r="U14" i="47"/>
  <c r="U34" i="47"/>
  <c r="J44" i="47"/>
  <c r="N30" i="47"/>
  <c r="O44" i="47"/>
  <c r="P44" i="47"/>
  <c r="AB15" i="47"/>
  <c r="N31" i="47"/>
  <c r="AC44" i="47"/>
  <c r="AE44" i="47"/>
  <c r="AD44" i="47"/>
  <c r="Z44" i="46"/>
  <c r="U18" i="46"/>
  <c r="S44" i="46"/>
  <c r="N16" i="46"/>
  <c r="L44" i="46"/>
  <c r="N32" i="46"/>
  <c r="U32" i="46"/>
  <c r="AB32" i="46"/>
  <c r="G38" i="46"/>
  <c r="AA11" i="46"/>
  <c r="M38" i="46"/>
  <c r="U35" i="46"/>
  <c r="AB35" i="46"/>
  <c r="N34" i="46"/>
  <c r="AB30" i="46"/>
  <c r="N10" i="46"/>
  <c r="G43" i="46"/>
  <c r="U43" i="46" s="1"/>
  <c r="AB42" i="46"/>
  <c r="U37" i="46"/>
  <c r="N37" i="46"/>
  <c r="AB37" i="46"/>
  <c r="N35" i="46"/>
  <c r="N28" i="46"/>
  <c r="AE44" i="46"/>
  <c r="O44" i="46"/>
  <c r="J44" i="46"/>
  <c r="N36" i="46"/>
  <c r="N41" i="46"/>
  <c r="I44" i="46"/>
  <c r="AB15" i="46"/>
  <c r="K44" i="46"/>
  <c r="U41" i="46"/>
  <c r="H44" i="46"/>
  <c r="Q44" i="46"/>
  <c r="AA43" i="46"/>
  <c r="R44" i="46"/>
  <c r="T25" i="46"/>
  <c r="U28" i="46"/>
  <c r="N33" i="46"/>
  <c r="AB36" i="46"/>
  <c r="N29" i="46"/>
  <c r="AB33" i="46"/>
  <c r="T38" i="46"/>
  <c r="U33" i="46"/>
  <c r="U29" i="46"/>
  <c r="W44" i="46"/>
  <c r="AB29" i="46"/>
  <c r="U34" i="46"/>
  <c r="AA38" i="46"/>
  <c r="U8" i="46"/>
  <c r="X44" i="46"/>
  <c r="U30" i="46"/>
  <c r="AB34" i="46"/>
  <c r="M11" i="46"/>
  <c r="AD44" i="46"/>
  <c r="Y44" i="46"/>
  <c r="N30" i="46"/>
  <c r="AC44" i="46"/>
  <c r="Z44" i="45"/>
  <c r="AB32" i="45"/>
  <c r="U20" i="45"/>
  <c r="U19" i="45"/>
  <c r="N42" i="45"/>
  <c r="N34" i="45"/>
  <c r="N33" i="45"/>
  <c r="N32" i="45"/>
  <c r="N31" i="45"/>
  <c r="N14" i="45"/>
  <c r="U32" i="45"/>
  <c r="AA43" i="45"/>
  <c r="N8" i="45"/>
  <c r="N7" i="45"/>
  <c r="AE38" i="45"/>
  <c r="AE44" i="45" s="1"/>
  <c r="AB35" i="45"/>
  <c r="T43" i="45"/>
  <c r="N37" i="45"/>
  <c r="AB33" i="45"/>
  <c r="AB29" i="45"/>
  <c r="G43" i="45"/>
  <c r="N43" i="45" s="1"/>
  <c r="U42" i="45"/>
  <c r="U30" i="45"/>
  <c r="U34" i="45"/>
  <c r="AB31" i="45"/>
  <c r="N22" i="45"/>
  <c r="N16" i="45"/>
  <c r="AB30" i="45"/>
  <c r="U33" i="45"/>
  <c r="U28" i="45"/>
  <c r="N35" i="45"/>
  <c r="N36" i="45"/>
  <c r="U35" i="45"/>
  <c r="U31" i="45"/>
  <c r="N29" i="45"/>
  <c r="U29" i="45"/>
  <c r="AD44" i="45"/>
  <c r="G38" i="45"/>
  <c r="N28" i="45"/>
  <c r="AB34" i="45"/>
  <c r="N21" i="45"/>
  <c r="T11" i="45"/>
  <c r="U36" i="45"/>
  <c r="N6" i="45"/>
  <c r="U37" i="45"/>
  <c r="AB37" i="45"/>
  <c r="AB36" i="45"/>
  <c r="N15" i="45"/>
  <c r="N23" i="45"/>
  <c r="AA38" i="45"/>
  <c r="AB42" i="45"/>
  <c r="N9" i="45"/>
  <c r="N10" i="45"/>
  <c r="T38" i="45"/>
  <c r="AB28" i="45"/>
  <c r="N18" i="45"/>
  <c r="AA11" i="45"/>
  <c r="T25" i="45"/>
  <c r="AA25" i="45"/>
  <c r="U34" i="49"/>
  <c r="AB34" i="49"/>
  <c r="U33" i="49"/>
  <c r="G38" i="49"/>
  <c r="AB30" i="49"/>
  <c r="N30" i="49"/>
  <c r="N29" i="49"/>
  <c r="U29" i="49"/>
  <c r="AB28" i="49"/>
  <c r="U28" i="49"/>
  <c r="AB22" i="47"/>
  <c r="AB18" i="47"/>
  <c r="N23" i="49"/>
  <c r="AB23" i="49"/>
  <c r="AB19" i="49"/>
  <c r="U24" i="49"/>
  <c r="N24" i="49"/>
  <c r="G25" i="48"/>
  <c r="AB22" i="49"/>
  <c r="N16" i="48"/>
  <c r="U16" i="48"/>
  <c r="N19" i="45"/>
  <c r="U9" i="45"/>
  <c r="N22" i="49"/>
  <c r="U21" i="49"/>
  <c r="G25" i="49"/>
  <c r="U10" i="49"/>
  <c r="AB10" i="49"/>
  <c r="AB22" i="48"/>
  <c r="AB23" i="47"/>
  <c r="G25" i="47"/>
  <c r="AB23" i="46"/>
  <c r="AB19" i="46"/>
  <c r="U17" i="46"/>
  <c r="N17" i="46"/>
  <c r="AB17" i="46"/>
  <c r="G25" i="46"/>
  <c r="N14" i="46"/>
  <c r="U21" i="45"/>
  <c r="AB21" i="45"/>
  <c r="AB20" i="45"/>
  <c r="N18" i="49"/>
  <c r="U16" i="49"/>
  <c r="AB16" i="49"/>
  <c r="N15" i="49"/>
  <c r="U15" i="49"/>
  <c r="U9" i="49"/>
  <c r="N8" i="49"/>
  <c r="U8" i="49"/>
  <c r="U7" i="49"/>
  <c r="U23" i="48"/>
  <c r="AB23" i="48"/>
  <c r="AB17" i="48"/>
  <c r="U19" i="48"/>
  <c r="N19" i="48"/>
  <c r="U15" i="48"/>
  <c r="N8" i="48"/>
  <c r="AB8" i="48"/>
  <c r="U7" i="48"/>
  <c r="U23" i="47"/>
  <c r="U19" i="47"/>
  <c r="AB19" i="47"/>
  <c r="N17" i="47"/>
  <c r="N15" i="47"/>
  <c r="U15" i="47"/>
  <c r="AB14" i="47"/>
  <c r="N14" i="47"/>
  <c r="U10" i="47"/>
  <c r="U7" i="47"/>
  <c r="AB24" i="46"/>
  <c r="U23" i="46"/>
  <c r="N18" i="46"/>
  <c r="U16" i="46"/>
  <c r="AB16" i="46"/>
  <c r="N7" i="46"/>
  <c r="U7" i="46"/>
  <c r="AB7" i="46"/>
  <c r="U10" i="45"/>
  <c r="U8" i="45"/>
  <c r="AB21" i="49"/>
  <c r="AB20" i="49"/>
  <c r="U20" i="49"/>
  <c r="N19" i="49"/>
  <c r="U19" i="49"/>
  <c r="AB18" i="49"/>
  <c r="U17" i="49"/>
  <c r="AB17" i="49"/>
  <c r="N17" i="49"/>
  <c r="N14" i="49"/>
  <c r="U14" i="49"/>
  <c r="AB9" i="49"/>
  <c r="N7" i="49"/>
  <c r="N6" i="49"/>
  <c r="AB6" i="49"/>
  <c r="N22" i="48"/>
  <c r="N21" i="48"/>
  <c r="U21" i="48"/>
  <c r="AB21" i="48"/>
  <c r="U20" i="48"/>
  <c r="AB20" i="48"/>
  <c r="AB19" i="48"/>
  <c r="U18" i="48"/>
  <c r="N18" i="48"/>
  <c r="AB18" i="48"/>
  <c r="N17" i="48"/>
  <c r="U17" i="48"/>
  <c r="N15" i="48"/>
  <c r="N14" i="48"/>
  <c r="AB14" i="48"/>
  <c r="N10" i="48"/>
  <c r="U10" i="48"/>
  <c r="N9" i="48"/>
  <c r="AB9" i="48"/>
  <c r="U6" i="48"/>
  <c r="AB6" i="48"/>
  <c r="AB24" i="47"/>
  <c r="U24" i="47"/>
  <c r="N23" i="47"/>
  <c r="N22" i="47"/>
  <c r="U22" i="47"/>
  <c r="N21" i="47"/>
  <c r="U21" i="47"/>
  <c r="AB21" i="47"/>
  <c r="U20" i="47"/>
  <c r="AB20" i="47"/>
  <c r="N20" i="47"/>
  <c r="N19" i="47"/>
  <c r="N18" i="47"/>
  <c r="U18" i="47"/>
  <c r="AB17" i="47"/>
  <c r="U17" i="47"/>
  <c r="U16" i="47"/>
  <c r="N16" i="47"/>
  <c r="AB10" i="47"/>
  <c r="N9" i="47"/>
  <c r="AB9" i="47"/>
  <c r="AB8" i="47"/>
  <c r="U8" i="47"/>
  <c r="AB7" i="47"/>
  <c r="G11" i="47"/>
  <c r="N6" i="47"/>
  <c r="U6" i="47"/>
  <c r="AB6" i="47"/>
  <c r="N24" i="46"/>
  <c r="U24" i="46"/>
  <c r="N23" i="46"/>
  <c r="U22" i="46"/>
  <c r="AB22" i="46"/>
  <c r="N22" i="46"/>
  <c r="N20" i="46"/>
  <c r="U20" i="46"/>
  <c r="N19" i="46"/>
  <c r="U19" i="46"/>
  <c r="AB18" i="46"/>
  <c r="N15" i="46"/>
  <c r="U15" i="46"/>
  <c r="N9" i="46"/>
  <c r="U9" i="46"/>
  <c r="AB9" i="46"/>
  <c r="AB8" i="46"/>
  <c r="N8" i="46"/>
  <c r="U10" i="46"/>
  <c r="AB10" i="46"/>
  <c r="N6" i="46"/>
  <c r="U6" i="46"/>
  <c r="AB6" i="46"/>
  <c r="G11" i="46"/>
  <c r="U22" i="45"/>
  <c r="AB22" i="45"/>
  <c r="N20" i="45"/>
  <c r="AB15" i="45"/>
  <c r="U14" i="45"/>
  <c r="AB9" i="45"/>
  <c r="AB8" i="45"/>
  <c r="AB7" i="45"/>
  <c r="U6" i="45"/>
  <c r="AB6" i="45"/>
  <c r="AB24" i="45"/>
  <c r="U24" i="45"/>
  <c r="U23" i="45"/>
  <c r="AB23" i="45"/>
  <c r="AB19" i="45"/>
  <c r="AB18" i="45"/>
  <c r="U18" i="45"/>
  <c r="U17" i="45"/>
  <c r="AB17" i="45"/>
  <c r="U16" i="45"/>
  <c r="AB16" i="45"/>
  <c r="U15" i="45"/>
  <c r="AB14" i="45"/>
  <c r="AB10" i="45"/>
  <c r="U7" i="45"/>
  <c r="M11" i="49"/>
  <c r="AB41" i="49"/>
  <c r="T25" i="49"/>
  <c r="S44" i="49"/>
  <c r="M43" i="49"/>
  <c r="G11" i="49"/>
  <c r="G43" i="49"/>
  <c r="AB41" i="48"/>
  <c r="T25" i="48"/>
  <c r="M43" i="48"/>
  <c r="V44" i="48"/>
  <c r="AA25" i="48"/>
  <c r="G11" i="48"/>
  <c r="N7" i="48"/>
  <c r="N24" i="48"/>
  <c r="M25" i="48"/>
  <c r="L44" i="47"/>
  <c r="M11" i="47"/>
  <c r="U30" i="47"/>
  <c r="M43" i="47"/>
  <c r="AA43" i="47"/>
  <c r="V44" i="47"/>
  <c r="AB14" i="46"/>
  <c r="P44" i="46"/>
  <c r="T11" i="46"/>
  <c r="N21" i="46"/>
  <c r="AA25" i="46"/>
  <c r="V44" i="46"/>
  <c r="U21" i="46"/>
  <c r="U14" i="46"/>
  <c r="AB21" i="46"/>
  <c r="N31" i="46"/>
  <c r="U31" i="46"/>
  <c r="AB31" i="46"/>
  <c r="U42" i="46"/>
  <c r="M25" i="46"/>
  <c r="AB41" i="46"/>
  <c r="AB41" i="45"/>
  <c r="W44" i="45"/>
  <c r="U41" i="45"/>
  <c r="I44" i="45"/>
  <c r="X44" i="45"/>
  <c r="G25" i="45"/>
  <c r="P44" i="45"/>
  <c r="Y44" i="45"/>
  <c r="N16" i="44"/>
  <c r="O43" i="44"/>
  <c r="L43" i="44"/>
  <c r="N31" i="44"/>
  <c r="N18" i="44"/>
  <c r="J43" i="44"/>
  <c r="K43" i="44"/>
  <c r="O43" i="40"/>
  <c r="P43" i="40"/>
  <c r="K43" i="40"/>
  <c r="L43" i="40"/>
  <c r="R43" i="39"/>
  <c r="H43" i="39"/>
  <c r="AE43" i="39"/>
  <c r="I43" i="39"/>
  <c r="AB43" i="39"/>
  <c r="J43" i="39"/>
  <c r="AD43" i="38"/>
  <c r="R43" i="38"/>
  <c r="Q43" i="40"/>
  <c r="R43" i="40"/>
  <c r="L43" i="39"/>
  <c r="K43" i="39"/>
  <c r="AB43" i="38"/>
  <c r="Q43" i="38"/>
  <c r="K43" i="38"/>
  <c r="L43" i="38"/>
  <c r="U42" i="37"/>
  <c r="AB11" i="37"/>
  <c r="AC43" i="37"/>
  <c r="AC44" i="45"/>
  <c r="V44" i="45"/>
  <c r="O44" i="45"/>
  <c r="Q44" i="45"/>
  <c r="R44" i="45"/>
  <c r="S44" i="45"/>
  <c r="L44" i="45"/>
  <c r="H44" i="45"/>
  <c r="M25" i="45"/>
  <c r="J44" i="45"/>
  <c r="M11" i="45"/>
  <c r="G11" i="45"/>
  <c r="K44" i="45"/>
  <c r="M38" i="45"/>
  <c r="N9" i="44"/>
  <c r="N23" i="44"/>
  <c r="N19" i="44"/>
  <c r="N14" i="44"/>
  <c r="N36" i="44"/>
  <c r="N8" i="44"/>
  <c r="N32" i="44"/>
  <c r="G37" i="44"/>
  <c r="N34" i="44"/>
  <c r="M37" i="44"/>
  <c r="N15" i="44"/>
  <c r="N21" i="44"/>
  <c r="N30" i="44"/>
  <c r="G11" i="44"/>
  <c r="N6" i="44"/>
  <c r="N24" i="44"/>
  <c r="N28" i="44"/>
  <c r="G25" i="44"/>
  <c r="N7" i="44"/>
  <c r="N20" i="44"/>
  <c r="N33" i="44"/>
  <c r="M11" i="44"/>
  <c r="N29" i="44"/>
  <c r="T11" i="44"/>
  <c r="N17" i="44"/>
  <c r="N22" i="44"/>
  <c r="M25" i="44"/>
  <c r="T25" i="44"/>
  <c r="N10" i="44"/>
  <c r="N41" i="44"/>
  <c r="N43" i="40"/>
  <c r="U43" i="40"/>
  <c r="H43" i="40"/>
  <c r="I43" i="40"/>
  <c r="J43" i="40"/>
  <c r="N43" i="39"/>
  <c r="S43" i="38"/>
  <c r="N43" i="38"/>
  <c r="I43" i="38"/>
  <c r="U43" i="38"/>
  <c r="H43" i="38"/>
  <c r="J43" i="38"/>
  <c r="N37" i="37"/>
  <c r="AD43" i="37"/>
  <c r="U43" i="37"/>
  <c r="I43" i="37"/>
  <c r="N25" i="37"/>
  <c r="AE43" i="37"/>
  <c r="J43" i="37"/>
  <c r="S43" i="37"/>
  <c r="AB25" i="37"/>
  <c r="U37" i="37"/>
  <c r="O43" i="37"/>
  <c r="AA43" i="37"/>
  <c r="AB37" i="37"/>
  <c r="U42" i="38"/>
  <c r="AB42" i="38"/>
  <c r="N11" i="37"/>
  <c r="U25" i="37"/>
  <c r="AB42" i="37"/>
  <c r="K3" i="54" l="1"/>
  <c r="L56" i="9"/>
  <c r="L56" i="10"/>
  <c r="K3" i="53"/>
  <c r="L44" i="11"/>
  <c r="L48" i="11"/>
  <c r="C48" i="11" s="1"/>
  <c r="AT38" i="34"/>
  <c r="AT44" i="34" s="1"/>
  <c r="R56" i="50"/>
  <c r="R57" i="50" s="1"/>
  <c r="AE56" i="50"/>
  <c r="AE57" i="50" s="1"/>
  <c r="AT28" i="50"/>
  <c r="AT50" i="50"/>
  <c r="AT56" i="50"/>
  <c r="G13" i="50"/>
  <c r="AG8" i="50"/>
  <c r="L6" i="9" s="1"/>
  <c r="T8" i="50"/>
  <c r="L6" i="10" s="1"/>
  <c r="AN49" i="50"/>
  <c r="L51" i="11" s="1"/>
  <c r="T49" i="50"/>
  <c r="L51" i="10" s="1"/>
  <c r="AG49" i="50"/>
  <c r="L51" i="9" s="1"/>
  <c r="G28" i="50"/>
  <c r="T17" i="50"/>
  <c r="L15" i="10" s="1"/>
  <c r="AG17" i="50"/>
  <c r="L15" i="9" s="1"/>
  <c r="AG32" i="50"/>
  <c r="L30" i="9" s="1"/>
  <c r="C30" i="9" s="1"/>
  <c r="T32" i="50"/>
  <c r="L30" i="10" s="1"/>
  <c r="C30" i="10" s="1"/>
  <c r="AM56" i="50"/>
  <c r="AO59" i="50"/>
  <c r="AH59" i="50"/>
  <c r="AM28" i="50"/>
  <c r="E5" i="22" s="1"/>
  <c r="R50" i="50"/>
  <c r="H59" i="50"/>
  <c r="BF59" i="50"/>
  <c r="AN56" i="50"/>
  <c r="L58" i="11" s="1"/>
  <c r="U59" i="50"/>
  <c r="AE28" i="50"/>
  <c r="E4" i="22" s="1"/>
  <c r="AN17" i="50"/>
  <c r="L15" i="11" s="1"/>
  <c r="AZ59" i="50"/>
  <c r="B59" i="50"/>
  <c r="AN32" i="50"/>
  <c r="L30" i="11" s="1"/>
  <c r="C30" i="11" s="1"/>
  <c r="AM50" i="50"/>
  <c r="G50" i="50"/>
  <c r="BA59" i="50"/>
  <c r="R13" i="50"/>
  <c r="E2" i="19" s="1"/>
  <c r="AN8" i="50"/>
  <c r="L6" i="11" s="1"/>
  <c r="AE50" i="50"/>
  <c r="AE51" i="50" s="1"/>
  <c r="AC44" i="34"/>
  <c r="AI44" i="34"/>
  <c r="AO44" i="34"/>
  <c r="AB38" i="49"/>
  <c r="AA44" i="49"/>
  <c r="AB43" i="49"/>
  <c r="U43" i="49"/>
  <c r="N43" i="49"/>
  <c r="N25" i="49"/>
  <c r="U38" i="49"/>
  <c r="AB43" i="48"/>
  <c r="N38" i="48"/>
  <c r="AB38" i="48"/>
  <c r="U38" i="48"/>
  <c r="T44" i="48"/>
  <c r="N43" i="48"/>
  <c r="U43" i="48"/>
  <c r="AB25" i="47"/>
  <c r="AB38" i="47"/>
  <c r="U43" i="47"/>
  <c r="AB43" i="47"/>
  <c r="N43" i="47"/>
  <c r="U38" i="47"/>
  <c r="N38" i="47"/>
  <c r="T44" i="47"/>
  <c r="AA44" i="47"/>
  <c r="U38" i="46"/>
  <c r="N38" i="46"/>
  <c r="AB38" i="46"/>
  <c r="N43" i="46"/>
  <c r="AB43" i="46"/>
  <c r="M44" i="46"/>
  <c r="U25" i="46"/>
  <c r="AB43" i="45"/>
  <c r="N11" i="45"/>
  <c r="U43" i="45"/>
  <c r="N38" i="45"/>
  <c r="AB38" i="45"/>
  <c r="U38" i="45"/>
  <c r="N25" i="45"/>
  <c r="N38" i="49"/>
  <c r="AB25" i="48"/>
  <c r="U25" i="48"/>
  <c r="N25" i="48"/>
  <c r="AB25" i="49"/>
  <c r="U25" i="49"/>
  <c r="U25" i="47"/>
  <c r="N25" i="47"/>
  <c r="N25" i="46"/>
  <c r="AB25" i="46"/>
  <c r="U11" i="47"/>
  <c r="AB11" i="47"/>
  <c r="N11" i="46"/>
  <c r="AB11" i="46"/>
  <c r="U25" i="45"/>
  <c r="AB25" i="45"/>
  <c r="U11" i="45"/>
  <c r="AB11" i="45"/>
  <c r="M44" i="49"/>
  <c r="N11" i="49"/>
  <c r="AB11" i="49"/>
  <c r="T44" i="49"/>
  <c r="U11" i="49"/>
  <c r="N11" i="48"/>
  <c r="U11" i="48"/>
  <c r="M44" i="48"/>
  <c r="AA44" i="48"/>
  <c r="AB11" i="48"/>
  <c r="M44" i="47"/>
  <c r="N11" i="47"/>
  <c r="U11" i="46"/>
  <c r="T44" i="46"/>
  <c r="AA44" i="46"/>
  <c r="AA44" i="45"/>
  <c r="AB43" i="44"/>
  <c r="T44" i="45"/>
  <c r="M44" i="45"/>
  <c r="M43" i="44"/>
  <c r="T43" i="44"/>
  <c r="U43" i="44" s="1"/>
  <c r="N25" i="44"/>
  <c r="N11" i="44"/>
  <c r="N43" i="37"/>
  <c r="AB43" i="37"/>
  <c r="F43" i="34"/>
  <c r="H43" i="34"/>
  <c r="B43" i="34"/>
  <c r="E43" i="34"/>
  <c r="D43" i="34"/>
  <c r="C43" i="34"/>
  <c r="AA42" i="34"/>
  <c r="T42" i="34"/>
  <c r="M42" i="34"/>
  <c r="G42" i="34"/>
  <c r="AA41" i="34"/>
  <c r="T41" i="34"/>
  <c r="M41" i="34"/>
  <c r="G41" i="34"/>
  <c r="AH38" i="34"/>
  <c r="Z38" i="34"/>
  <c r="Y38" i="34"/>
  <c r="X38" i="34"/>
  <c r="W38" i="34"/>
  <c r="V38" i="34"/>
  <c r="S38" i="34"/>
  <c r="R38" i="34"/>
  <c r="Q38" i="34"/>
  <c r="P38" i="34"/>
  <c r="O38" i="34"/>
  <c r="L38" i="34"/>
  <c r="K38" i="34"/>
  <c r="J38" i="34"/>
  <c r="I38" i="34"/>
  <c r="H38" i="34"/>
  <c r="F38" i="34"/>
  <c r="D6" i="24" s="1"/>
  <c r="E38" i="34"/>
  <c r="D5" i="24" s="1"/>
  <c r="D38" i="34"/>
  <c r="D4" i="24" s="1"/>
  <c r="B38" i="34"/>
  <c r="D2" i="24" s="1"/>
  <c r="AA37" i="34"/>
  <c r="T37" i="34"/>
  <c r="M37" i="34"/>
  <c r="G37" i="34"/>
  <c r="AN38" i="34"/>
  <c r="AA36" i="34"/>
  <c r="T36" i="34"/>
  <c r="M36" i="34"/>
  <c r="G36" i="34"/>
  <c r="AA35" i="34"/>
  <c r="T35" i="34"/>
  <c r="M35" i="34"/>
  <c r="G35" i="34"/>
  <c r="AA34" i="34"/>
  <c r="T34" i="34"/>
  <c r="M34" i="34"/>
  <c r="G34" i="34"/>
  <c r="AA33" i="34"/>
  <c r="T33" i="34"/>
  <c r="M33" i="34"/>
  <c r="G33" i="34"/>
  <c r="AA32" i="34"/>
  <c r="T32" i="34"/>
  <c r="M32" i="34"/>
  <c r="G32" i="34"/>
  <c r="AA31" i="34"/>
  <c r="T31" i="34"/>
  <c r="M31" i="34"/>
  <c r="G31" i="34"/>
  <c r="AA30" i="34"/>
  <c r="T30" i="34"/>
  <c r="M30" i="34"/>
  <c r="G30" i="34"/>
  <c r="AA29" i="34"/>
  <c r="T29" i="34"/>
  <c r="M29" i="34"/>
  <c r="G29" i="34"/>
  <c r="Z26" i="34"/>
  <c r="Y26" i="34"/>
  <c r="X26" i="34"/>
  <c r="W26" i="34"/>
  <c r="V26" i="34"/>
  <c r="S26" i="34"/>
  <c r="R26" i="34"/>
  <c r="Q26" i="34"/>
  <c r="P26" i="34"/>
  <c r="O26" i="34"/>
  <c r="L26" i="34"/>
  <c r="K26" i="34"/>
  <c r="J26" i="34"/>
  <c r="I26" i="34"/>
  <c r="F26" i="34"/>
  <c r="D7" i="21" s="1"/>
  <c r="E26" i="34"/>
  <c r="D6" i="21" s="1"/>
  <c r="D26" i="34"/>
  <c r="D5" i="21" s="1"/>
  <c r="C26" i="34"/>
  <c r="D4" i="21" s="1"/>
  <c r="B26" i="34"/>
  <c r="D3" i="21" s="1"/>
  <c r="AA25" i="34"/>
  <c r="T25" i="34"/>
  <c r="M25" i="34"/>
  <c r="G25" i="34"/>
  <c r="AA24" i="34"/>
  <c r="T24" i="34"/>
  <c r="M24" i="34"/>
  <c r="G24" i="34"/>
  <c r="AA23" i="34"/>
  <c r="T23" i="34"/>
  <c r="M23" i="34"/>
  <c r="G23" i="34"/>
  <c r="AA22" i="34"/>
  <c r="T22" i="34"/>
  <c r="M22" i="34"/>
  <c r="G22" i="34"/>
  <c r="AA21" i="34"/>
  <c r="T21" i="34"/>
  <c r="M21" i="34"/>
  <c r="G21" i="34"/>
  <c r="AA20" i="34"/>
  <c r="T20" i="34"/>
  <c r="M20" i="34"/>
  <c r="G20" i="34"/>
  <c r="AA19" i="34"/>
  <c r="T19" i="34"/>
  <c r="M19" i="34"/>
  <c r="G19" i="34"/>
  <c r="AA18" i="34"/>
  <c r="T18" i="34"/>
  <c r="M18" i="34"/>
  <c r="G18" i="34"/>
  <c r="AA17" i="34"/>
  <c r="T17" i="34"/>
  <c r="M17" i="34"/>
  <c r="G17" i="34"/>
  <c r="AA16" i="34"/>
  <c r="T16" i="34"/>
  <c r="M16" i="34"/>
  <c r="G16" i="34"/>
  <c r="AH26" i="34"/>
  <c r="AA15" i="34"/>
  <c r="T15" i="34"/>
  <c r="M15" i="34"/>
  <c r="G15" i="34"/>
  <c r="AN12" i="34"/>
  <c r="Z12" i="34"/>
  <c r="Y12" i="34"/>
  <c r="X12" i="34"/>
  <c r="W12" i="34"/>
  <c r="V12" i="34"/>
  <c r="S12" i="34"/>
  <c r="R12" i="34"/>
  <c r="Q12" i="34"/>
  <c r="P12" i="34"/>
  <c r="O12" i="34"/>
  <c r="L12" i="34"/>
  <c r="K12" i="34"/>
  <c r="J12" i="34"/>
  <c r="I12" i="34"/>
  <c r="H12" i="34"/>
  <c r="F12" i="34"/>
  <c r="F7" i="18" s="1"/>
  <c r="E12" i="34"/>
  <c r="F6" i="18" s="1"/>
  <c r="D12" i="34"/>
  <c r="F5" i="18" s="1"/>
  <c r="C12" i="34"/>
  <c r="F4" i="18" s="1"/>
  <c r="B12" i="34"/>
  <c r="F3" i="18" s="1"/>
  <c r="AA11" i="34"/>
  <c r="T11" i="34"/>
  <c r="M11" i="34"/>
  <c r="G11" i="34"/>
  <c r="AA10" i="34"/>
  <c r="T10" i="34"/>
  <c r="M10" i="34"/>
  <c r="G10" i="34"/>
  <c r="AH12" i="34"/>
  <c r="AA9" i="34"/>
  <c r="T9" i="34"/>
  <c r="M9" i="34"/>
  <c r="G9" i="34"/>
  <c r="AA8" i="34"/>
  <c r="T8" i="34"/>
  <c r="M8" i="34"/>
  <c r="G8" i="34"/>
  <c r="AA7" i="34"/>
  <c r="T7" i="34"/>
  <c r="M7" i="34"/>
  <c r="G7" i="34"/>
  <c r="C3" i="24"/>
  <c r="T56" i="50" l="1"/>
  <c r="L58" i="10" s="1"/>
  <c r="AT59" i="50"/>
  <c r="R29" i="50"/>
  <c r="C4" i="55" s="1"/>
  <c r="E8" i="21"/>
  <c r="T2" i="20"/>
  <c r="C6" i="56"/>
  <c r="B6" i="56" s="1"/>
  <c r="C6" i="55"/>
  <c r="B6" i="55" s="1"/>
  <c r="R51" i="50"/>
  <c r="C5" i="55" s="1"/>
  <c r="AE14" i="50"/>
  <c r="T2" i="17"/>
  <c r="C5" i="56"/>
  <c r="B5" i="56" s="1"/>
  <c r="J3" i="23"/>
  <c r="K4" i="51"/>
  <c r="K4" i="52"/>
  <c r="N8" i="34"/>
  <c r="K7" i="10" s="1"/>
  <c r="C7" i="10" s="1"/>
  <c r="R14" i="50"/>
  <c r="C3" i="55" s="1"/>
  <c r="AE29" i="50"/>
  <c r="AG56" i="50"/>
  <c r="L58" i="9" s="1"/>
  <c r="AN13" i="50"/>
  <c r="L11" i="11" s="1"/>
  <c r="AG50" i="50"/>
  <c r="T13" i="50"/>
  <c r="T50" i="50"/>
  <c r="AN28" i="50"/>
  <c r="L26" i="11" s="1"/>
  <c r="T28" i="50"/>
  <c r="G8" i="18"/>
  <c r="AG13" i="50"/>
  <c r="AG28" i="50"/>
  <c r="R59" i="50"/>
  <c r="AE59" i="50"/>
  <c r="AM59" i="50"/>
  <c r="AN50" i="50"/>
  <c r="L52" i="11" s="1"/>
  <c r="G59" i="50"/>
  <c r="T43" i="34"/>
  <c r="AA43" i="34"/>
  <c r="M43" i="34"/>
  <c r="G12" i="34"/>
  <c r="D7" i="24"/>
  <c r="AN26" i="34"/>
  <c r="AN44" i="34" s="1"/>
  <c r="AB44" i="49"/>
  <c r="U44" i="48"/>
  <c r="U44" i="47"/>
  <c r="N44" i="46"/>
  <c r="N44" i="45"/>
  <c r="N44" i="48"/>
  <c r="AB44" i="48"/>
  <c r="AB44" i="47"/>
  <c r="N44" i="47"/>
  <c r="U44" i="49"/>
  <c r="N44" i="49"/>
  <c r="AB44" i="46"/>
  <c r="U44" i="46"/>
  <c r="AB44" i="45"/>
  <c r="U44" i="45"/>
  <c r="Y44" i="34"/>
  <c r="R44" i="34"/>
  <c r="K44" i="34"/>
  <c r="N22" i="34"/>
  <c r="K22" i="10" s="1"/>
  <c r="C22" i="10" s="1"/>
  <c r="AB37" i="34"/>
  <c r="K51" i="11" s="1"/>
  <c r="C51" i="11" s="1"/>
  <c r="Z44" i="34"/>
  <c r="S44" i="34"/>
  <c r="L44" i="34"/>
  <c r="F44" i="34"/>
  <c r="V44" i="34"/>
  <c r="U24" i="34"/>
  <c r="K24" i="9" s="1"/>
  <c r="C24" i="9" s="1"/>
  <c r="O44" i="34"/>
  <c r="H44" i="34"/>
  <c r="B44" i="34"/>
  <c r="AB10" i="34"/>
  <c r="K9" i="11" s="1"/>
  <c r="C9" i="11" s="1"/>
  <c r="X44" i="34"/>
  <c r="Q44" i="34"/>
  <c r="J44" i="34"/>
  <c r="U32" i="34"/>
  <c r="K40" i="9" s="1"/>
  <c r="C40" i="9" s="1"/>
  <c r="AB32" i="34"/>
  <c r="K40" i="11" s="1"/>
  <c r="C40" i="11" s="1"/>
  <c r="N17" i="34"/>
  <c r="K17" i="10" s="1"/>
  <c r="C17" i="10" s="1"/>
  <c r="AB17" i="34"/>
  <c r="K17" i="11" s="1"/>
  <c r="C17" i="11" s="1"/>
  <c r="U17" i="34"/>
  <c r="K17" i="9" s="1"/>
  <c r="C17" i="9" s="1"/>
  <c r="D44" i="34"/>
  <c r="U11" i="34"/>
  <c r="K10" i="9" s="1"/>
  <c r="C10" i="9" s="1"/>
  <c r="U9" i="34"/>
  <c r="K8" i="9" s="1"/>
  <c r="C8" i="9" s="1"/>
  <c r="AB9" i="34"/>
  <c r="K8" i="11" s="1"/>
  <c r="C8" i="11" s="1"/>
  <c r="AH44" i="34"/>
  <c r="AA26" i="34"/>
  <c r="D5" i="22" s="1"/>
  <c r="G5" i="22" s="1"/>
  <c r="W44" i="34"/>
  <c r="AA12" i="34"/>
  <c r="D4" i="19" s="1"/>
  <c r="G4" i="19" s="1"/>
  <c r="T38" i="34"/>
  <c r="U25" i="34"/>
  <c r="K25" i="9" s="1"/>
  <c r="C25" i="9" s="1"/>
  <c r="P44" i="34"/>
  <c r="T26" i="34"/>
  <c r="D4" i="22" s="1"/>
  <c r="G4" i="22" s="1"/>
  <c r="T12" i="34"/>
  <c r="D3" i="19" s="1"/>
  <c r="G3" i="19" s="1"/>
  <c r="N41" i="34"/>
  <c r="M38" i="34"/>
  <c r="N23" i="34"/>
  <c r="K23" i="10" s="1"/>
  <c r="C23" i="10" s="1"/>
  <c r="I44" i="34"/>
  <c r="M12" i="34"/>
  <c r="D2" i="19" s="1"/>
  <c r="G2" i="19" s="1"/>
  <c r="AB33" i="34"/>
  <c r="K43" i="11" s="1"/>
  <c r="C43" i="11" s="1"/>
  <c r="U42" i="34"/>
  <c r="K57" i="9" s="1"/>
  <c r="C57" i="9" s="1"/>
  <c r="N42" i="34"/>
  <c r="K57" i="10" s="1"/>
  <c r="C57" i="10" s="1"/>
  <c r="AB42" i="34"/>
  <c r="K57" i="11" s="1"/>
  <c r="C57" i="11" s="1"/>
  <c r="G43" i="34"/>
  <c r="U41" i="34"/>
  <c r="N37" i="34"/>
  <c r="K51" i="10" s="1"/>
  <c r="U37" i="34"/>
  <c r="K51" i="9" s="1"/>
  <c r="C51" i="9" s="1"/>
  <c r="N36" i="34"/>
  <c r="U36" i="34"/>
  <c r="AB36" i="34"/>
  <c r="U35" i="34"/>
  <c r="K47" i="9" s="1"/>
  <c r="C47" i="9" s="1"/>
  <c r="AB35" i="34"/>
  <c r="K47" i="11" s="1"/>
  <c r="C47" i="11" s="1"/>
  <c r="N35" i="34"/>
  <c r="K47" i="10" s="1"/>
  <c r="G38" i="34"/>
  <c r="N34" i="34"/>
  <c r="K38" i="10" s="1"/>
  <c r="C38" i="10" s="1"/>
  <c r="U34" i="34"/>
  <c r="AB34" i="34"/>
  <c r="K38" i="11" s="1"/>
  <c r="C38" i="11" s="1"/>
  <c r="N33" i="34"/>
  <c r="K43" i="10" s="1"/>
  <c r="C43" i="10" s="1"/>
  <c r="U33" i="34"/>
  <c r="K43" i="9" s="1"/>
  <c r="C43" i="9" s="1"/>
  <c r="N32" i="34"/>
  <c r="K40" i="10" s="1"/>
  <c r="N31" i="34"/>
  <c r="K36" i="10" s="1"/>
  <c r="C36" i="10" s="1"/>
  <c r="U31" i="34"/>
  <c r="K36" i="9" s="1"/>
  <c r="C36" i="9" s="1"/>
  <c r="AB31" i="34"/>
  <c r="K36" i="11" s="1"/>
  <c r="C36" i="11" s="1"/>
  <c r="AB30" i="34"/>
  <c r="K39" i="11" s="1"/>
  <c r="C39" i="11" s="1"/>
  <c r="N29" i="34"/>
  <c r="K33" i="10" s="1"/>
  <c r="C33" i="10" s="1"/>
  <c r="AB29" i="34"/>
  <c r="K33" i="11" s="1"/>
  <c r="C33" i="11" s="1"/>
  <c r="U29" i="34"/>
  <c r="N19" i="34"/>
  <c r="K19" i="10" s="1"/>
  <c r="C19" i="10" s="1"/>
  <c r="U19" i="34"/>
  <c r="K19" i="9" s="1"/>
  <c r="C19" i="9" s="1"/>
  <c r="AB19" i="34"/>
  <c r="K19" i="11" s="1"/>
  <c r="C19" i="11" s="1"/>
  <c r="U21" i="34"/>
  <c r="K21" i="9" s="1"/>
  <c r="C21" i="9" s="1"/>
  <c r="AB24" i="34"/>
  <c r="K24" i="11" s="1"/>
  <c r="C24" i="11" s="1"/>
  <c r="AB21" i="34"/>
  <c r="K21" i="11" s="1"/>
  <c r="C21" i="11" s="1"/>
  <c r="U22" i="34"/>
  <c r="K22" i="9" s="1"/>
  <c r="C22" i="9" s="1"/>
  <c r="AB22" i="34"/>
  <c r="K22" i="11" s="1"/>
  <c r="C22" i="11" s="1"/>
  <c r="N20" i="34"/>
  <c r="K20" i="10" s="1"/>
  <c r="U23" i="34"/>
  <c r="K23" i="9" s="1"/>
  <c r="C23" i="9" s="1"/>
  <c r="AB20" i="34"/>
  <c r="K20" i="11" s="1"/>
  <c r="C20" i="11" s="1"/>
  <c r="N24" i="34"/>
  <c r="K24" i="10" s="1"/>
  <c r="N21" i="34"/>
  <c r="K21" i="10" s="1"/>
  <c r="N25" i="34"/>
  <c r="K25" i="10" s="1"/>
  <c r="C25" i="10" s="1"/>
  <c r="AB25" i="34"/>
  <c r="K25" i="11" s="1"/>
  <c r="C25" i="11" s="1"/>
  <c r="U20" i="34"/>
  <c r="K20" i="9" s="1"/>
  <c r="C20" i="9" s="1"/>
  <c r="AB23" i="34"/>
  <c r="K23" i="11" s="1"/>
  <c r="C23" i="11" s="1"/>
  <c r="N18" i="34"/>
  <c r="K18" i="10" s="1"/>
  <c r="C18" i="10" s="1"/>
  <c r="G26" i="34"/>
  <c r="U18" i="34"/>
  <c r="K18" i="9" s="1"/>
  <c r="C18" i="9" s="1"/>
  <c r="N16" i="34"/>
  <c r="K16" i="10" s="1"/>
  <c r="C16" i="10" s="1"/>
  <c r="U16" i="34"/>
  <c r="K16" i="9" s="1"/>
  <c r="C16" i="9" s="1"/>
  <c r="AB16" i="34"/>
  <c r="K16" i="11" s="1"/>
  <c r="C16" i="11" s="1"/>
  <c r="N15" i="34"/>
  <c r="K15" i="10" s="1"/>
  <c r="C15" i="10" s="1"/>
  <c r="AB15" i="34"/>
  <c r="K15" i="11" s="1"/>
  <c r="C15" i="11" s="1"/>
  <c r="C44" i="34"/>
  <c r="N11" i="34"/>
  <c r="K10" i="10" s="1"/>
  <c r="C10" i="10" s="1"/>
  <c r="AB11" i="34"/>
  <c r="K10" i="11" s="1"/>
  <c r="C10" i="11" s="1"/>
  <c r="N10" i="34"/>
  <c r="K9" i="10" s="1"/>
  <c r="C9" i="10" s="1"/>
  <c r="U10" i="34"/>
  <c r="K9" i="9" s="1"/>
  <c r="C9" i="9" s="1"/>
  <c r="U8" i="34"/>
  <c r="K7" i="9" s="1"/>
  <c r="C7" i="9" s="1"/>
  <c r="AB7" i="34"/>
  <c r="N7" i="34"/>
  <c r="K6" i="10" s="1"/>
  <c r="AA38" i="34"/>
  <c r="AB8" i="34"/>
  <c r="K7" i="11" s="1"/>
  <c r="C7" i="11" s="1"/>
  <c r="N30" i="34"/>
  <c r="K39" i="10" s="1"/>
  <c r="C39" i="10" s="1"/>
  <c r="AB18" i="34"/>
  <c r="K18" i="11" s="1"/>
  <c r="C18" i="11" s="1"/>
  <c r="U30" i="34"/>
  <c r="K39" i="9" s="1"/>
  <c r="C39" i="9" s="1"/>
  <c r="N9" i="34"/>
  <c r="K8" i="10" s="1"/>
  <c r="C8" i="10" s="1"/>
  <c r="M26" i="34"/>
  <c r="D3" i="22" s="1"/>
  <c r="G3" i="22" s="1"/>
  <c r="U7" i="34"/>
  <c r="K6" i="9" s="1"/>
  <c r="C6" i="9" s="1"/>
  <c r="U15" i="34"/>
  <c r="K15" i="9" s="1"/>
  <c r="C15" i="9" s="1"/>
  <c r="AB41" i="34"/>
  <c r="AD35" i="33"/>
  <c r="S25" i="33"/>
  <c r="K5" i="54" l="1"/>
  <c r="K6" i="52"/>
  <c r="K5" i="52"/>
  <c r="K4" i="54"/>
  <c r="B4" i="55"/>
  <c r="K5" i="53"/>
  <c r="K6" i="51"/>
  <c r="C3" i="56"/>
  <c r="B3" i="56" s="1"/>
  <c r="B3" i="55"/>
  <c r="K5" i="51"/>
  <c r="K4" i="53"/>
  <c r="C4" i="56"/>
  <c r="B4" i="56" s="1"/>
  <c r="J3" i="53"/>
  <c r="B3" i="53" s="1"/>
  <c r="K56" i="10"/>
  <c r="C56" i="10" s="1"/>
  <c r="J3" i="54"/>
  <c r="B3" i="54" s="1"/>
  <c r="K56" i="9"/>
  <c r="C56" i="9" s="1"/>
  <c r="K44" i="11"/>
  <c r="C44" i="11" s="1"/>
  <c r="K56" i="11"/>
  <c r="C56" i="11" s="1"/>
  <c r="B5" i="55"/>
  <c r="K6" i="53"/>
  <c r="K7" i="51"/>
  <c r="L52" i="10"/>
  <c r="K7" i="52"/>
  <c r="K6" i="54"/>
  <c r="J4" i="51"/>
  <c r="R60" i="50"/>
  <c r="AE60" i="50"/>
  <c r="J3" i="51"/>
  <c r="K44" i="10"/>
  <c r="C44" i="10" s="1"/>
  <c r="K6" i="11"/>
  <c r="C6" i="11" s="1"/>
  <c r="J3" i="52"/>
  <c r="K44" i="9"/>
  <c r="C44" i="9" s="1"/>
  <c r="K33" i="9"/>
  <c r="C33" i="9" s="1"/>
  <c r="K38" i="9"/>
  <c r="C38" i="9" s="1"/>
  <c r="J4" i="52"/>
  <c r="L11" i="10"/>
  <c r="L52" i="9"/>
  <c r="L26" i="9"/>
  <c r="L11" i="9"/>
  <c r="B8" i="15"/>
  <c r="L26" i="10"/>
  <c r="AN59" i="50"/>
  <c r="T59" i="50"/>
  <c r="AG59" i="50"/>
  <c r="N43" i="34"/>
  <c r="K58" i="10" s="1"/>
  <c r="C58" i="10" s="1"/>
  <c r="AB43" i="34"/>
  <c r="K58" i="11" s="1"/>
  <c r="C58" i="11" s="1"/>
  <c r="U43" i="34"/>
  <c r="K58" i="9" s="1"/>
  <c r="C58" i="9" s="1"/>
  <c r="I3" i="23"/>
  <c r="D8" i="21"/>
  <c r="S2" i="20"/>
  <c r="S2" i="17"/>
  <c r="F8" i="18"/>
  <c r="E44" i="34"/>
  <c r="U26" i="34"/>
  <c r="N38" i="34"/>
  <c r="M44" i="34"/>
  <c r="N12" i="34"/>
  <c r="AB38" i="34"/>
  <c r="K52" i="11" s="1"/>
  <c r="C52" i="11" s="1"/>
  <c r="U38" i="34"/>
  <c r="N26" i="34"/>
  <c r="AB26" i="34"/>
  <c r="K26" i="11" s="1"/>
  <c r="C26" i="11" s="1"/>
  <c r="AB12" i="34"/>
  <c r="K11" i="11" s="1"/>
  <c r="C11" i="11" s="1"/>
  <c r="U12" i="34"/>
  <c r="G44" i="34"/>
  <c r="AA44" i="34"/>
  <c r="T44" i="34"/>
  <c r="Y11" i="33"/>
  <c r="Z42" i="33"/>
  <c r="Y42" i="33"/>
  <c r="X42" i="33"/>
  <c r="W42" i="33"/>
  <c r="V42" i="33"/>
  <c r="R42" i="33"/>
  <c r="Q42" i="33"/>
  <c r="P42" i="33"/>
  <c r="L42" i="33"/>
  <c r="K42" i="33"/>
  <c r="J42" i="33"/>
  <c r="I42" i="33"/>
  <c r="H42" i="33"/>
  <c r="F42" i="33"/>
  <c r="E42" i="33"/>
  <c r="D42" i="33"/>
  <c r="C42" i="33"/>
  <c r="B42" i="33"/>
  <c r="AD41" i="33"/>
  <c r="AC41" i="33"/>
  <c r="AA41" i="33"/>
  <c r="T41" i="33"/>
  <c r="M41" i="33"/>
  <c r="G41" i="33"/>
  <c r="AD40" i="33"/>
  <c r="AA40" i="33"/>
  <c r="T40" i="33"/>
  <c r="M40" i="33"/>
  <c r="G40" i="33"/>
  <c r="Z37" i="33"/>
  <c r="Y37" i="33"/>
  <c r="X37" i="33"/>
  <c r="W37" i="33"/>
  <c r="V37" i="33"/>
  <c r="S37" i="33"/>
  <c r="R37" i="33"/>
  <c r="Q37" i="33"/>
  <c r="P37" i="33"/>
  <c r="O37" i="33"/>
  <c r="L37" i="33"/>
  <c r="K37" i="33"/>
  <c r="J37" i="33"/>
  <c r="I37" i="33"/>
  <c r="H37" i="33"/>
  <c r="F37" i="33"/>
  <c r="C6" i="24" s="1"/>
  <c r="E37" i="33"/>
  <c r="C5" i="24" s="1"/>
  <c r="D37" i="33"/>
  <c r="C4" i="24" s="1"/>
  <c r="B37" i="33"/>
  <c r="C2" i="24" s="1"/>
  <c r="AA36" i="33"/>
  <c r="T36" i="33"/>
  <c r="M36" i="33"/>
  <c r="G36" i="33"/>
  <c r="AA35" i="33"/>
  <c r="T35" i="33"/>
  <c r="M35" i="33"/>
  <c r="G35" i="33"/>
  <c r="AA34" i="33"/>
  <c r="T34" i="33"/>
  <c r="M34" i="33"/>
  <c r="G34" i="33"/>
  <c r="AA33" i="33"/>
  <c r="T33" i="33"/>
  <c r="M33" i="33"/>
  <c r="G33" i="33"/>
  <c r="AA32" i="33"/>
  <c r="T32" i="33"/>
  <c r="M32" i="33"/>
  <c r="G32" i="33"/>
  <c r="AA31" i="33"/>
  <c r="T31" i="33"/>
  <c r="M31" i="33"/>
  <c r="G31" i="33"/>
  <c r="AA30" i="33"/>
  <c r="T30" i="33"/>
  <c r="M30" i="33"/>
  <c r="G30" i="33"/>
  <c r="AA29" i="33"/>
  <c r="T29" i="33"/>
  <c r="M29" i="33"/>
  <c r="G29" i="33"/>
  <c r="AA28" i="33"/>
  <c r="T28" i="33"/>
  <c r="M28" i="33"/>
  <c r="G28" i="33"/>
  <c r="Z25" i="33"/>
  <c r="Y25" i="33"/>
  <c r="X25" i="33"/>
  <c r="W25" i="33"/>
  <c r="V25" i="33"/>
  <c r="R25" i="33"/>
  <c r="Q25" i="33"/>
  <c r="P25" i="33"/>
  <c r="O25" i="33"/>
  <c r="L25" i="33"/>
  <c r="K25" i="33"/>
  <c r="J25" i="33"/>
  <c r="I25" i="33"/>
  <c r="H25" i="33"/>
  <c r="F25" i="33"/>
  <c r="C7" i="21" s="1"/>
  <c r="E25" i="33"/>
  <c r="C6" i="21" s="1"/>
  <c r="D25" i="33"/>
  <c r="C5" i="21" s="1"/>
  <c r="B25" i="33"/>
  <c r="C3" i="21" s="1"/>
  <c r="AA24" i="33"/>
  <c r="T24" i="33"/>
  <c r="M24" i="33"/>
  <c r="G24" i="33"/>
  <c r="AA23" i="33"/>
  <c r="T23" i="33"/>
  <c r="M23" i="33"/>
  <c r="G23" i="33"/>
  <c r="AA22" i="33"/>
  <c r="T22" i="33"/>
  <c r="M22" i="33"/>
  <c r="G22" i="33"/>
  <c r="AA21" i="33"/>
  <c r="T21" i="33"/>
  <c r="M21" i="33"/>
  <c r="G21" i="33"/>
  <c r="AE20" i="33"/>
  <c r="AA20" i="33"/>
  <c r="T20" i="33"/>
  <c r="M20" i="33"/>
  <c r="G20" i="33"/>
  <c r="AA19" i="33"/>
  <c r="T19" i="33"/>
  <c r="M19" i="33"/>
  <c r="G19" i="33"/>
  <c r="AE18" i="33"/>
  <c r="AD18" i="33"/>
  <c r="AA18" i="33"/>
  <c r="T18" i="33"/>
  <c r="M18" i="33"/>
  <c r="G18" i="33"/>
  <c r="N18" i="33" s="1"/>
  <c r="AE17" i="33"/>
  <c r="AD17" i="33"/>
  <c r="AA17" i="33"/>
  <c r="T17" i="33"/>
  <c r="M17" i="33"/>
  <c r="G17" i="33"/>
  <c r="AA16" i="33"/>
  <c r="T16" i="33"/>
  <c r="M16" i="33"/>
  <c r="G16" i="33"/>
  <c r="AA15" i="33"/>
  <c r="T15" i="33"/>
  <c r="M15" i="33"/>
  <c r="G15" i="33"/>
  <c r="AC14" i="33"/>
  <c r="AA14" i="33"/>
  <c r="T14" i="33"/>
  <c r="M14" i="33"/>
  <c r="Z11" i="33"/>
  <c r="X11" i="33"/>
  <c r="W11" i="33"/>
  <c r="V11" i="33"/>
  <c r="S11" i="33"/>
  <c r="R11" i="33"/>
  <c r="Q11" i="33"/>
  <c r="P11" i="33"/>
  <c r="O11" i="33"/>
  <c r="L11" i="33"/>
  <c r="K11" i="33"/>
  <c r="J11" i="33"/>
  <c r="I11" i="33"/>
  <c r="H11" i="33"/>
  <c r="F11" i="33"/>
  <c r="E7" i="18" s="1"/>
  <c r="E11" i="33"/>
  <c r="E6" i="18" s="1"/>
  <c r="D11" i="33"/>
  <c r="E5" i="18" s="1"/>
  <c r="C11" i="33"/>
  <c r="E4" i="18" s="1"/>
  <c r="B11" i="33"/>
  <c r="E3" i="18" s="1"/>
  <c r="AA10" i="33"/>
  <c r="T10" i="33"/>
  <c r="M10" i="33"/>
  <c r="G10" i="33"/>
  <c r="AC9" i="33"/>
  <c r="AA9" i="33"/>
  <c r="T9" i="33"/>
  <c r="M9" i="33"/>
  <c r="G9" i="33"/>
  <c r="AC8" i="33"/>
  <c r="AA8" i="33"/>
  <c r="T8" i="33"/>
  <c r="M8" i="33"/>
  <c r="G8" i="33"/>
  <c r="AA7" i="33"/>
  <c r="T7" i="33"/>
  <c r="M7" i="33"/>
  <c r="G7" i="33"/>
  <c r="AA6" i="33"/>
  <c r="T6" i="33"/>
  <c r="M6" i="33"/>
  <c r="G6" i="33"/>
  <c r="K26" i="10" l="1"/>
  <c r="C26" i="10" s="1"/>
  <c r="J5" i="53"/>
  <c r="B5" i="53" s="1"/>
  <c r="J6" i="51"/>
  <c r="K52" i="9"/>
  <c r="C52" i="9" s="1"/>
  <c r="J7" i="52"/>
  <c r="J6" i="54"/>
  <c r="B6" i="54" s="1"/>
  <c r="K11" i="10"/>
  <c r="C11" i="10" s="1"/>
  <c r="J5" i="51"/>
  <c r="J4" i="53"/>
  <c r="B4" i="53" s="1"/>
  <c r="K52" i="10"/>
  <c r="J7" i="51"/>
  <c r="J6" i="53"/>
  <c r="B6" i="53" s="1"/>
  <c r="K26" i="9"/>
  <c r="C26" i="9" s="1"/>
  <c r="J6" i="52"/>
  <c r="J5" i="54"/>
  <c r="B5" i="54" s="1"/>
  <c r="K11" i="9"/>
  <c r="C11" i="9" s="1"/>
  <c r="J4" i="54"/>
  <c r="B4" i="54" s="1"/>
  <c r="J5" i="52"/>
  <c r="C7" i="24"/>
  <c r="N44" i="34"/>
  <c r="AB44" i="34"/>
  <c r="U44" i="34"/>
  <c r="U8" i="33"/>
  <c r="N15" i="33"/>
  <c r="AC42" i="33"/>
  <c r="AB35" i="33"/>
  <c r="AD42" i="33"/>
  <c r="AE42" i="33"/>
  <c r="N16" i="33"/>
  <c r="U23" i="33"/>
  <c r="N35" i="33"/>
  <c r="G42" i="33"/>
  <c r="M42" i="33"/>
  <c r="AB10" i="33"/>
  <c r="AB17" i="33"/>
  <c r="T42" i="33"/>
  <c r="AA42" i="33"/>
  <c r="AB33" i="33"/>
  <c r="U31" i="33"/>
  <c r="AB22" i="33"/>
  <c r="R43" i="33"/>
  <c r="U7" i="33"/>
  <c r="U29" i="33"/>
  <c r="P43" i="33"/>
  <c r="AB41" i="33"/>
  <c r="AB9" i="33"/>
  <c r="AB31" i="33"/>
  <c r="AB29" i="33"/>
  <c r="N36" i="33"/>
  <c r="Q43" i="33"/>
  <c r="AE11" i="33"/>
  <c r="AB34" i="33"/>
  <c r="U9" i="33"/>
  <c r="U30" i="33"/>
  <c r="N28" i="33"/>
  <c r="AB19" i="33"/>
  <c r="H43" i="33"/>
  <c r="C25" i="33"/>
  <c r="I43" i="33"/>
  <c r="M25" i="33"/>
  <c r="AA11" i="33"/>
  <c r="T25" i="33"/>
  <c r="Z43" i="33"/>
  <c r="N34" i="33"/>
  <c r="N30" i="33"/>
  <c r="N32" i="33"/>
  <c r="U34" i="33"/>
  <c r="O43" i="33"/>
  <c r="AD25" i="33"/>
  <c r="N19" i="33"/>
  <c r="U21" i="33"/>
  <c r="T37" i="33"/>
  <c r="U36" i="33"/>
  <c r="AE25" i="33"/>
  <c r="U19" i="33"/>
  <c r="AB21" i="33"/>
  <c r="AB32" i="33"/>
  <c r="AB36" i="33"/>
  <c r="N41" i="33"/>
  <c r="J43" i="33"/>
  <c r="U28" i="33"/>
  <c r="AA37" i="33"/>
  <c r="U41" i="33"/>
  <c r="K43" i="33"/>
  <c r="AB28" i="33"/>
  <c r="AC37" i="33"/>
  <c r="S43" i="33"/>
  <c r="M11" i="33"/>
  <c r="L43" i="33"/>
  <c r="V43" i="33"/>
  <c r="AA25" i="33"/>
  <c r="AD37" i="33"/>
  <c r="B43" i="33"/>
  <c r="W43" i="33"/>
  <c r="AC25" i="33"/>
  <c r="AB20" i="33"/>
  <c r="N24" i="33"/>
  <c r="AE37" i="33"/>
  <c r="N33" i="33"/>
  <c r="AC11" i="33"/>
  <c r="X43" i="33"/>
  <c r="U24" i="33"/>
  <c r="G37" i="33"/>
  <c r="H3" i="23" s="1"/>
  <c r="N31" i="33"/>
  <c r="U33" i="33"/>
  <c r="D43" i="33"/>
  <c r="AD11" i="33"/>
  <c r="Y43" i="33"/>
  <c r="AB24" i="33"/>
  <c r="M37" i="33"/>
  <c r="U35" i="33"/>
  <c r="N22" i="33"/>
  <c r="U22" i="33"/>
  <c r="N21" i="33"/>
  <c r="AB18" i="33"/>
  <c r="U16" i="33"/>
  <c r="AB16" i="33"/>
  <c r="N10" i="33"/>
  <c r="U10" i="33"/>
  <c r="N9" i="33"/>
  <c r="N8" i="33"/>
  <c r="G11" i="33"/>
  <c r="AB8" i="33"/>
  <c r="N7" i="33"/>
  <c r="AB6" i="33"/>
  <c r="U6" i="33"/>
  <c r="F43" i="33"/>
  <c r="U17" i="33"/>
  <c r="U15" i="33"/>
  <c r="N23" i="33"/>
  <c r="N17" i="33"/>
  <c r="AB23" i="33"/>
  <c r="N20" i="33"/>
  <c r="U20" i="33"/>
  <c r="U18" i="33"/>
  <c r="N6" i="33"/>
  <c r="J6" i="10" s="1"/>
  <c r="U32" i="33"/>
  <c r="U40" i="33"/>
  <c r="I3" i="54" s="1"/>
  <c r="T11" i="33"/>
  <c r="AB40" i="33"/>
  <c r="G14" i="33"/>
  <c r="G25" i="33" s="1"/>
  <c r="N40" i="33"/>
  <c r="I3" i="53" s="1"/>
  <c r="AB15" i="33"/>
  <c r="N29" i="33"/>
  <c r="AB7" i="33"/>
  <c r="AB30" i="33"/>
  <c r="AE41" i="32"/>
  <c r="AE40" i="32"/>
  <c r="AE36" i="32"/>
  <c r="AE35" i="32"/>
  <c r="AE34" i="32"/>
  <c r="AE33" i="32"/>
  <c r="AE32" i="32"/>
  <c r="AE31" i="32"/>
  <c r="AE30" i="32"/>
  <c r="AE29" i="32"/>
  <c r="AE28" i="32"/>
  <c r="AE24" i="32"/>
  <c r="AE23" i="32"/>
  <c r="AE22" i="32"/>
  <c r="AE21" i="32"/>
  <c r="AE20" i="32"/>
  <c r="AE19" i="32"/>
  <c r="AE18" i="32"/>
  <c r="AE17" i="32"/>
  <c r="AE16" i="32"/>
  <c r="AE15" i="32"/>
  <c r="AE14" i="32"/>
  <c r="AE10" i="32"/>
  <c r="AE9" i="32"/>
  <c r="AE8" i="32"/>
  <c r="AE7" i="32"/>
  <c r="AE6" i="32"/>
  <c r="AD41" i="32"/>
  <c r="AD40" i="32"/>
  <c r="AD36" i="32"/>
  <c r="AD35" i="32"/>
  <c r="AD34" i="32"/>
  <c r="AD33" i="32"/>
  <c r="AD32" i="32"/>
  <c r="AD31" i="32"/>
  <c r="AD30" i="32"/>
  <c r="AD29" i="32"/>
  <c r="AD28" i="32"/>
  <c r="AD24" i="32"/>
  <c r="AD23" i="32"/>
  <c r="AD22" i="32"/>
  <c r="AD21" i="32"/>
  <c r="AD20" i="32"/>
  <c r="AD19" i="32"/>
  <c r="AD18" i="32"/>
  <c r="AD17" i="32"/>
  <c r="AD16" i="32"/>
  <c r="AD15" i="32"/>
  <c r="AD14" i="32"/>
  <c r="AD10" i="32"/>
  <c r="AD9" i="32"/>
  <c r="AD8" i="32"/>
  <c r="AD7" i="32"/>
  <c r="AD6" i="32"/>
  <c r="AC41" i="32"/>
  <c r="AC40" i="32"/>
  <c r="AC36" i="32"/>
  <c r="AC35" i="32"/>
  <c r="AC34" i="32"/>
  <c r="AC33" i="32"/>
  <c r="AC32" i="32"/>
  <c r="AC31" i="32"/>
  <c r="AC30" i="32"/>
  <c r="AC29" i="32"/>
  <c r="AC28" i="32"/>
  <c r="AC24" i="32"/>
  <c r="AC23" i="32"/>
  <c r="AC22" i="32"/>
  <c r="AC21" i="32"/>
  <c r="AC20" i="32"/>
  <c r="AC19" i="32"/>
  <c r="AC18" i="32"/>
  <c r="AC17" i="32"/>
  <c r="AC16" i="32"/>
  <c r="AC15" i="32"/>
  <c r="AC14" i="32"/>
  <c r="AC10" i="32"/>
  <c r="AC9" i="32"/>
  <c r="AC8" i="32"/>
  <c r="AC7" i="32"/>
  <c r="AC6" i="32"/>
  <c r="R2" i="20" l="1"/>
  <c r="C8" i="21"/>
  <c r="E8" i="18"/>
  <c r="R2" i="17"/>
  <c r="C43" i="33"/>
  <c r="C4" i="21"/>
  <c r="AB42" i="33"/>
  <c r="U42" i="33"/>
  <c r="N42" i="33"/>
  <c r="AE43" i="33"/>
  <c r="M43" i="33"/>
  <c r="E43" i="33"/>
  <c r="AA43" i="33"/>
  <c r="N37" i="33"/>
  <c r="AD43" i="33"/>
  <c r="AC43" i="33"/>
  <c r="N25" i="33"/>
  <c r="AB37" i="33"/>
  <c r="AB11" i="33"/>
  <c r="U37" i="33"/>
  <c r="AB25" i="33"/>
  <c r="N11" i="33"/>
  <c r="U25" i="33"/>
  <c r="G43" i="33"/>
  <c r="U11" i="33"/>
  <c r="T43" i="33"/>
  <c r="N14" i="33"/>
  <c r="AB14" i="33"/>
  <c r="U14" i="33"/>
  <c r="V37" i="32"/>
  <c r="N43" i="33" l="1"/>
  <c r="AB43" i="33"/>
  <c r="U43" i="33"/>
  <c r="B25" i="32"/>
  <c r="B3" i="21" s="1"/>
  <c r="F25" i="32" l="1"/>
  <c r="B7" i="21" s="1"/>
  <c r="C24" i="32" l="1"/>
  <c r="C23" i="32"/>
  <c r="C22" i="32"/>
  <c r="G22" i="32" s="1"/>
  <c r="C21" i="32"/>
  <c r="C20" i="32"/>
  <c r="C19" i="32"/>
  <c r="G19" i="32" s="1"/>
  <c r="C18" i="32"/>
  <c r="G18" i="32" s="1"/>
  <c r="C17" i="32"/>
  <c r="G17" i="32" s="1"/>
  <c r="C16" i="32"/>
  <c r="C15" i="32"/>
  <c r="G15" i="32" s="1"/>
  <c r="C14" i="32"/>
  <c r="G14" i="32" s="1"/>
  <c r="G21" i="32"/>
  <c r="G8" i="32"/>
  <c r="B11" i="32"/>
  <c r="D3" i="18" s="1"/>
  <c r="AE42" i="32"/>
  <c r="AD42" i="32"/>
  <c r="Z42" i="32"/>
  <c r="Y42" i="32"/>
  <c r="X42" i="32"/>
  <c r="W42" i="32"/>
  <c r="V42" i="32"/>
  <c r="S42" i="32"/>
  <c r="R42" i="32"/>
  <c r="Q42" i="32"/>
  <c r="P42" i="32"/>
  <c r="O42" i="32"/>
  <c r="L42" i="32"/>
  <c r="K42" i="32"/>
  <c r="J42" i="32"/>
  <c r="I42" i="32"/>
  <c r="H42" i="32"/>
  <c r="F42" i="32"/>
  <c r="E42" i="32"/>
  <c r="D42" i="32"/>
  <c r="C42" i="32"/>
  <c r="B42" i="32"/>
  <c r="AA41" i="32"/>
  <c r="T41" i="32"/>
  <c r="M41" i="32"/>
  <c r="G41" i="32"/>
  <c r="AC42" i="32"/>
  <c r="AA40" i="32"/>
  <c r="T40" i="32"/>
  <c r="M40" i="32"/>
  <c r="G40" i="32"/>
  <c r="Z37" i="32"/>
  <c r="Y37" i="32"/>
  <c r="Y43" i="32" s="1"/>
  <c r="X37" i="32"/>
  <c r="W37" i="32"/>
  <c r="S37" i="32"/>
  <c r="R37" i="32"/>
  <c r="Q37" i="32"/>
  <c r="P37" i="32"/>
  <c r="O37" i="32"/>
  <c r="L37" i="32"/>
  <c r="K37" i="32"/>
  <c r="J37" i="32"/>
  <c r="I37" i="32"/>
  <c r="H37" i="32"/>
  <c r="F37" i="32"/>
  <c r="B6" i="24" s="1"/>
  <c r="E37" i="32"/>
  <c r="B5" i="24" s="1"/>
  <c r="D37" i="32"/>
  <c r="B4" i="24" s="1"/>
  <c r="C37" i="32"/>
  <c r="B3" i="24" s="1"/>
  <c r="B37" i="32"/>
  <c r="B2" i="24" s="1"/>
  <c r="AA36" i="32"/>
  <c r="T36" i="32"/>
  <c r="M36" i="32"/>
  <c r="G36" i="32"/>
  <c r="AA35" i="32"/>
  <c r="T35" i="32"/>
  <c r="M35" i="32"/>
  <c r="G35" i="32"/>
  <c r="AA34" i="32"/>
  <c r="T34" i="32"/>
  <c r="M34" i="32"/>
  <c r="G34" i="32"/>
  <c r="AA33" i="32"/>
  <c r="T33" i="32"/>
  <c r="M33" i="32"/>
  <c r="G33" i="32"/>
  <c r="AA32" i="32"/>
  <c r="T32" i="32"/>
  <c r="M32" i="32"/>
  <c r="G32" i="32"/>
  <c r="AA31" i="32"/>
  <c r="T31" i="32"/>
  <c r="M31" i="32"/>
  <c r="G31" i="32"/>
  <c r="AA30" i="32"/>
  <c r="T30" i="32"/>
  <c r="M30" i="32"/>
  <c r="G30" i="32"/>
  <c r="AC37" i="32"/>
  <c r="AA29" i="32"/>
  <c r="T29" i="32"/>
  <c r="M29" i="32"/>
  <c r="G29" i="32"/>
  <c r="AA28" i="32"/>
  <c r="T28" i="32"/>
  <c r="M28" i="32"/>
  <c r="G28" i="32"/>
  <c r="R25" i="32"/>
  <c r="Q25" i="32"/>
  <c r="P25" i="32"/>
  <c r="O25" i="32"/>
  <c r="L25" i="32"/>
  <c r="K25" i="32"/>
  <c r="H25" i="32"/>
  <c r="E25" i="32"/>
  <c r="B6" i="21" s="1"/>
  <c r="D25" i="32"/>
  <c r="B5" i="21" s="1"/>
  <c r="AA24" i="32"/>
  <c r="T24" i="32"/>
  <c r="M24" i="32"/>
  <c r="G24" i="32"/>
  <c r="N24" i="32" s="1"/>
  <c r="AA23" i="32"/>
  <c r="T23" i="32"/>
  <c r="M23" i="32"/>
  <c r="G23" i="32"/>
  <c r="AA22" i="32"/>
  <c r="T22" i="32"/>
  <c r="M22" i="32"/>
  <c r="AA21" i="32"/>
  <c r="T21" i="32"/>
  <c r="M21" i="32"/>
  <c r="X25" i="32"/>
  <c r="T20" i="32"/>
  <c r="M20" i="32"/>
  <c r="G20" i="32"/>
  <c r="Y25" i="32"/>
  <c r="AA19" i="32"/>
  <c r="T19" i="32"/>
  <c r="M19" i="32"/>
  <c r="AA18" i="32"/>
  <c r="T18" i="32"/>
  <c r="M18" i="32"/>
  <c r="AA17" i="32"/>
  <c r="T17" i="32"/>
  <c r="AA16" i="32"/>
  <c r="T16" i="32"/>
  <c r="M16" i="32"/>
  <c r="G16" i="32"/>
  <c r="AE25" i="32"/>
  <c r="AD25" i="32"/>
  <c r="Z25" i="32"/>
  <c r="T15" i="32"/>
  <c r="M15" i="32"/>
  <c r="AA14" i="32"/>
  <c r="T14" i="32"/>
  <c r="M14" i="32"/>
  <c r="Z11" i="32"/>
  <c r="Y11" i="32"/>
  <c r="X11" i="32"/>
  <c r="W11" i="32"/>
  <c r="V11" i="32"/>
  <c r="S11" i="32"/>
  <c r="R11" i="32"/>
  <c r="Q11" i="32"/>
  <c r="P11" i="32"/>
  <c r="O11" i="32"/>
  <c r="L11" i="32"/>
  <c r="K11" i="32"/>
  <c r="J11" i="32"/>
  <c r="I11" i="32"/>
  <c r="H11" i="32"/>
  <c r="F11" i="32"/>
  <c r="D7" i="18" s="1"/>
  <c r="E11" i="32"/>
  <c r="D6" i="18" s="1"/>
  <c r="D11" i="32"/>
  <c r="D5" i="18" s="1"/>
  <c r="C11" i="32"/>
  <c r="D4" i="18" s="1"/>
  <c r="AA10" i="32"/>
  <c r="T10" i="32"/>
  <c r="M10" i="32"/>
  <c r="G10" i="32"/>
  <c r="AA9" i="32"/>
  <c r="T9" i="32"/>
  <c r="M9" i="32"/>
  <c r="G9" i="32"/>
  <c r="AA8" i="32"/>
  <c r="T8" i="32"/>
  <c r="M8" i="32"/>
  <c r="AE11" i="32"/>
  <c r="AD11" i="32"/>
  <c r="AA7" i="32"/>
  <c r="T7" i="32"/>
  <c r="M7" i="32"/>
  <c r="AC11" i="32"/>
  <c r="AA6" i="32"/>
  <c r="T6" i="32"/>
  <c r="M6" i="32"/>
  <c r="G6" i="32"/>
  <c r="B7" i="24" l="1"/>
  <c r="N33" i="32"/>
  <c r="X43" i="32"/>
  <c r="U36" i="32"/>
  <c r="N29" i="32"/>
  <c r="AA11" i="32"/>
  <c r="U32" i="32"/>
  <c r="O43" i="32"/>
  <c r="U35" i="32"/>
  <c r="U34" i="32"/>
  <c r="AB6" i="32"/>
  <c r="AA37" i="32"/>
  <c r="AB17" i="32"/>
  <c r="AB22" i="32"/>
  <c r="AB10" i="32"/>
  <c r="R43" i="32"/>
  <c r="U40" i="32"/>
  <c r="Q43" i="32"/>
  <c r="T37" i="32"/>
  <c r="T25" i="32"/>
  <c r="P43" i="32"/>
  <c r="U9" i="32"/>
  <c r="U30" i="32"/>
  <c r="L43" i="32"/>
  <c r="N41" i="32"/>
  <c r="K43" i="32"/>
  <c r="N31" i="32"/>
  <c r="J40" i="10" s="1"/>
  <c r="C40" i="10" s="1"/>
  <c r="N35" i="32"/>
  <c r="N18" i="32"/>
  <c r="M11" i="32"/>
  <c r="H43" i="32"/>
  <c r="F43" i="32"/>
  <c r="D43" i="32"/>
  <c r="AB16" i="32"/>
  <c r="AB41" i="32"/>
  <c r="AB29" i="32"/>
  <c r="AB31" i="32"/>
  <c r="U29" i="32"/>
  <c r="U31" i="32"/>
  <c r="C25" i="32"/>
  <c r="B4" i="21" s="1"/>
  <c r="N15" i="32"/>
  <c r="N16" i="32"/>
  <c r="U21" i="32"/>
  <c r="N19" i="32"/>
  <c r="N21" i="32"/>
  <c r="U24" i="32"/>
  <c r="G37" i="32"/>
  <c r="AB33" i="32"/>
  <c r="AB35" i="32"/>
  <c r="U33" i="32"/>
  <c r="N36" i="32"/>
  <c r="J51" i="10" s="1"/>
  <c r="C51" i="10" s="1"/>
  <c r="U18" i="32"/>
  <c r="U19" i="32"/>
  <c r="AB23" i="32"/>
  <c r="AB18" i="32"/>
  <c r="U20" i="32"/>
  <c r="N23" i="32"/>
  <c r="J24" i="10" s="1"/>
  <c r="B43" i="32"/>
  <c r="G25" i="32"/>
  <c r="B8" i="21" s="1"/>
  <c r="AB19" i="32"/>
  <c r="N22" i="32"/>
  <c r="U23" i="32"/>
  <c r="U16" i="32"/>
  <c r="N20" i="32"/>
  <c r="J21" i="10" s="1"/>
  <c r="AB21" i="32"/>
  <c r="U22" i="32"/>
  <c r="AB24" i="32"/>
  <c r="U6" i="32"/>
  <c r="AB9" i="32"/>
  <c r="N9" i="32"/>
  <c r="N10" i="32"/>
  <c r="N6" i="32"/>
  <c r="U10" i="32"/>
  <c r="AB8" i="32"/>
  <c r="N8" i="32"/>
  <c r="U8" i="32"/>
  <c r="G7" i="32"/>
  <c r="U7" i="32" s="1"/>
  <c r="W43" i="32"/>
  <c r="N14" i="32"/>
  <c r="T11" i="32"/>
  <c r="J25" i="32"/>
  <c r="J43" i="32" s="1"/>
  <c r="U14" i="32"/>
  <c r="U15" i="32"/>
  <c r="M17" i="32"/>
  <c r="N17" i="32" s="1"/>
  <c r="I25" i="32"/>
  <c r="I43" i="32" s="1"/>
  <c r="AA20" i="32"/>
  <c r="AB20" i="32" s="1"/>
  <c r="AE37" i="32"/>
  <c r="AE43" i="32" s="1"/>
  <c r="N32" i="32"/>
  <c r="AB34" i="32"/>
  <c r="G42" i="32"/>
  <c r="AB14" i="32"/>
  <c r="AB30" i="32"/>
  <c r="AB40" i="32"/>
  <c r="AC25" i="32"/>
  <c r="AC43" i="32" s="1"/>
  <c r="V25" i="32"/>
  <c r="V43" i="32" s="1"/>
  <c r="U17" i="32"/>
  <c r="S25" i="32"/>
  <c r="S43" i="32" s="1"/>
  <c r="N28" i="32"/>
  <c r="AD37" i="32"/>
  <c r="AD43" i="32" s="1"/>
  <c r="N30" i="32"/>
  <c r="AB32" i="32"/>
  <c r="M37" i="32"/>
  <c r="M42" i="32"/>
  <c r="N40" i="32"/>
  <c r="Z43" i="32"/>
  <c r="AA15" i="32"/>
  <c r="W25" i="32"/>
  <c r="U28" i="32"/>
  <c r="N34" i="32"/>
  <c r="AB36" i="32"/>
  <c r="T42" i="32"/>
  <c r="U41" i="32"/>
  <c r="AA42" i="32"/>
  <c r="AB28" i="32"/>
  <c r="Q2" i="20" l="1"/>
  <c r="AB42" i="32"/>
  <c r="C43" i="32"/>
  <c r="G3" i="23"/>
  <c r="E43" i="32"/>
  <c r="AB37" i="32"/>
  <c r="U25" i="32"/>
  <c r="N42" i="32"/>
  <c r="N37" i="32"/>
  <c r="J52" i="10" s="1"/>
  <c r="C52" i="10" s="1"/>
  <c r="U37" i="32"/>
  <c r="AB7" i="32"/>
  <c r="G11" i="32"/>
  <c r="N7" i="32"/>
  <c r="M25" i="32"/>
  <c r="AB15" i="32"/>
  <c r="AA25" i="32"/>
  <c r="U42" i="32"/>
  <c r="T43" i="32"/>
  <c r="AE41" i="31"/>
  <c r="AE40" i="31"/>
  <c r="AE36" i="31"/>
  <c r="AE35" i="31"/>
  <c r="AE34" i="31"/>
  <c r="AE33" i="31"/>
  <c r="AE32" i="31"/>
  <c r="AE31" i="31"/>
  <c r="AE30" i="31"/>
  <c r="AE29" i="31"/>
  <c r="AE28" i="31"/>
  <c r="AE22" i="31"/>
  <c r="AE24" i="31"/>
  <c r="AE21" i="31"/>
  <c r="AE17" i="31"/>
  <c r="AE15" i="31"/>
  <c r="AE10" i="31"/>
  <c r="AE9" i="31"/>
  <c r="AE8" i="31"/>
  <c r="AE7" i="31"/>
  <c r="AE6" i="31"/>
  <c r="AD41" i="31"/>
  <c r="AD40" i="31"/>
  <c r="AD36" i="31"/>
  <c r="AD35" i="31"/>
  <c r="AD34" i="31"/>
  <c r="AD33" i="31"/>
  <c r="AD32" i="31"/>
  <c r="AD31" i="31"/>
  <c r="AD30" i="31"/>
  <c r="AD29" i="31"/>
  <c r="AD28" i="31"/>
  <c r="AD22" i="31"/>
  <c r="AD15" i="31"/>
  <c r="AD10" i="31"/>
  <c r="AD9" i="31"/>
  <c r="AD8" i="31"/>
  <c r="AD7" i="31"/>
  <c r="AD6" i="31"/>
  <c r="G43" i="32" l="1"/>
  <c r="U43" i="32" s="1"/>
  <c r="Q2" i="17"/>
  <c r="D8" i="18"/>
  <c r="U11" i="32"/>
  <c r="N11" i="32"/>
  <c r="AB11" i="32"/>
  <c r="N25" i="32"/>
  <c r="M43" i="32"/>
  <c r="AB25" i="32"/>
  <c r="AA43" i="32"/>
  <c r="AC41" i="31"/>
  <c r="AC40" i="31"/>
  <c r="AC36" i="31"/>
  <c r="AC35" i="31"/>
  <c r="AC34" i="31"/>
  <c r="AC33" i="31"/>
  <c r="AC32" i="31"/>
  <c r="AC31" i="31"/>
  <c r="AC30" i="31"/>
  <c r="AC29" i="31"/>
  <c r="AC10" i="31"/>
  <c r="AC9" i="31"/>
  <c r="AC8" i="31"/>
  <c r="AC7" i="31"/>
  <c r="AC6" i="31"/>
  <c r="AC11" i="31" s="1"/>
  <c r="Y19" i="31"/>
  <c r="Y25" i="31" s="1"/>
  <c r="Q25" i="31"/>
  <c r="AE42" i="31"/>
  <c r="AD42" i="31"/>
  <c r="AC42" i="31"/>
  <c r="Z42" i="31"/>
  <c r="X42" i="31"/>
  <c r="W42" i="31"/>
  <c r="V42" i="31"/>
  <c r="S42" i="31"/>
  <c r="R42" i="31"/>
  <c r="Q42" i="31"/>
  <c r="P42" i="31"/>
  <c r="O42" i="31"/>
  <c r="L42" i="31"/>
  <c r="K42" i="31"/>
  <c r="J42" i="31"/>
  <c r="I42" i="31"/>
  <c r="H42" i="31"/>
  <c r="F42" i="31"/>
  <c r="E42" i="31"/>
  <c r="D42" i="31"/>
  <c r="C42" i="31"/>
  <c r="B42" i="31"/>
  <c r="AA41" i="31"/>
  <c r="T41" i="31"/>
  <c r="M41" i="31"/>
  <c r="G41" i="31"/>
  <c r="Y42" i="31"/>
  <c r="T40" i="31"/>
  <c r="M40" i="31"/>
  <c r="M42" i="31" s="1"/>
  <c r="G40" i="31"/>
  <c r="AE37" i="31"/>
  <c r="AD37" i="31"/>
  <c r="Z37" i="31"/>
  <c r="Y37" i="31"/>
  <c r="X37" i="31"/>
  <c r="W37" i="31"/>
  <c r="V37" i="31"/>
  <c r="S37" i="31"/>
  <c r="R37" i="31"/>
  <c r="Q37" i="31"/>
  <c r="P37" i="31"/>
  <c r="O37" i="31"/>
  <c r="L37" i="31"/>
  <c r="K37" i="31"/>
  <c r="J37" i="31"/>
  <c r="I37" i="31"/>
  <c r="H37" i="31"/>
  <c r="F37" i="31"/>
  <c r="E37" i="31"/>
  <c r="D37" i="31"/>
  <c r="C37" i="31"/>
  <c r="B37" i="31"/>
  <c r="AA36" i="31"/>
  <c r="T36" i="31"/>
  <c r="M36" i="31"/>
  <c r="G36" i="31"/>
  <c r="AA35" i="31"/>
  <c r="T35" i="31"/>
  <c r="M35" i="31"/>
  <c r="G35" i="31"/>
  <c r="AA34" i="31"/>
  <c r="T34" i="31"/>
  <c r="M34" i="31"/>
  <c r="G34" i="31"/>
  <c r="AA33" i="31"/>
  <c r="T33" i="31"/>
  <c r="M33" i="31"/>
  <c r="G33" i="31"/>
  <c r="AA32" i="31"/>
  <c r="T32" i="31"/>
  <c r="M32" i="31"/>
  <c r="G32" i="31"/>
  <c r="AA31" i="31"/>
  <c r="T31" i="31"/>
  <c r="M31" i="31"/>
  <c r="G31" i="31"/>
  <c r="AA30" i="31"/>
  <c r="T30" i="31"/>
  <c r="M30" i="31"/>
  <c r="G30" i="31"/>
  <c r="AA29" i="31"/>
  <c r="T29" i="31"/>
  <c r="M29" i="31"/>
  <c r="G29" i="31"/>
  <c r="AA28" i="31"/>
  <c r="T28" i="31"/>
  <c r="M28" i="31"/>
  <c r="G28" i="31"/>
  <c r="AE25" i="31"/>
  <c r="R25" i="31"/>
  <c r="O25" i="31"/>
  <c r="H25" i="31"/>
  <c r="F25" i="31"/>
  <c r="E25" i="31"/>
  <c r="D25" i="31"/>
  <c r="C25" i="31"/>
  <c r="B25" i="31"/>
  <c r="Z24" i="31"/>
  <c r="AA24" i="31" s="1"/>
  <c r="T24" i="31"/>
  <c r="M24" i="31"/>
  <c r="G24" i="31"/>
  <c r="Z23" i="31"/>
  <c r="W23" i="31"/>
  <c r="AA23" i="31"/>
  <c r="S23" i="31"/>
  <c r="T23" i="31" s="1"/>
  <c r="L23" i="31"/>
  <c r="K23" i="31"/>
  <c r="K25" i="31" s="1"/>
  <c r="J23" i="31"/>
  <c r="I23" i="31"/>
  <c r="M23" i="31" s="1"/>
  <c r="G23" i="31"/>
  <c r="AA22" i="31"/>
  <c r="T22" i="31"/>
  <c r="M22" i="31"/>
  <c r="G22" i="31"/>
  <c r="W21" i="31"/>
  <c r="AA21" i="31"/>
  <c r="T21" i="31"/>
  <c r="I21" i="31"/>
  <c r="M21" i="31" s="1"/>
  <c r="N21" i="31" s="1"/>
  <c r="G21" i="31"/>
  <c r="AC20" i="31"/>
  <c r="Z20" i="31"/>
  <c r="X20" i="31"/>
  <c r="W20" i="31"/>
  <c r="V20" i="31"/>
  <c r="S20" i="31"/>
  <c r="T20" i="31"/>
  <c r="L20" i="31"/>
  <c r="J20" i="31"/>
  <c r="I20" i="31"/>
  <c r="G20" i="31"/>
  <c r="AC19" i="31"/>
  <c r="Z19" i="31"/>
  <c r="X19" i="31"/>
  <c r="W19" i="31"/>
  <c r="V19" i="31"/>
  <c r="S19" i="31"/>
  <c r="T19" i="31" s="1"/>
  <c r="L19" i="31"/>
  <c r="I19" i="31"/>
  <c r="M19" i="31" s="1"/>
  <c r="G19" i="31"/>
  <c r="AC18" i="31"/>
  <c r="Z18" i="31"/>
  <c r="W18" i="31"/>
  <c r="S18" i="31"/>
  <c r="T18" i="31" s="1"/>
  <c r="L18" i="31"/>
  <c r="J18" i="31"/>
  <c r="I18" i="31"/>
  <c r="M18" i="31" s="1"/>
  <c r="G18" i="31"/>
  <c r="AC17" i="31"/>
  <c r="Z17" i="31"/>
  <c r="W17" i="31"/>
  <c r="V17" i="31"/>
  <c r="AA17" i="31" s="1"/>
  <c r="S17" i="31"/>
  <c r="T17" i="31"/>
  <c r="L17" i="31"/>
  <c r="I17" i="31"/>
  <c r="M17" i="31" s="1"/>
  <c r="G17" i="31"/>
  <c r="AC16" i="31"/>
  <c r="W16" i="31"/>
  <c r="V16" i="31"/>
  <c r="AA16" i="31" s="1"/>
  <c r="S16" i="31"/>
  <c r="T16" i="31"/>
  <c r="L16" i="31"/>
  <c r="J16" i="31"/>
  <c r="I16" i="31"/>
  <c r="M16" i="31" s="1"/>
  <c r="G16" i="31"/>
  <c r="Z15" i="31"/>
  <c r="W15" i="31"/>
  <c r="AA15" i="31"/>
  <c r="T15" i="31"/>
  <c r="I15" i="31"/>
  <c r="M15" i="31" s="1"/>
  <c r="G15" i="31"/>
  <c r="AD25" i="31"/>
  <c r="AC14" i="31"/>
  <c r="W14" i="31"/>
  <c r="T14" i="31"/>
  <c r="L14" i="31"/>
  <c r="J14" i="31"/>
  <c r="I14" i="31"/>
  <c r="G14" i="31"/>
  <c r="AE11" i="31"/>
  <c r="AD11" i="31"/>
  <c r="Z11" i="31"/>
  <c r="Y11" i="31"/>
  <c r="X11" i="31"/>
  <c r="V11" i="31"/>
  <c r="S11" i="31"/>
  <c r="R11" i="31"/>
  <c r="Q11" i="31"/>
  <c r="P11" i="31"/>
  <c r="O11" i="31"/>
  <c r="I11" i="31"/>
  <c r="H11" i="31"/>
  <c r="F11" i="31"/>
  <c r="E11" i="31"/>
  <c r="D11" i="31"/>
  <c r="C11" i="31"/>
  <c r="B11" i="31"/>
  <c r="AA10" i="31"/>
  <c r="AB10" i="31" s="1"/>
  <c r="T10" i="31"/>
  <c r="M10" i="31"/>
  <c r="G10" i="31"/>
  <c r="AA9" i="31"/>
  <c r="T9" i="31"/>
  <c r="M9" i="31"/>
  <c r="G9" i="31"/>
  <c r="AA8" i="31"/>
  <c r="T8" i="31"/>
  <c r="L11" i="31"/>
  <c r="M8" i="31"/>
  <c r="G8" i="31"/>
  <c r="AA7" i="31"/>
  <c r="T7" i="31"/>
  <c r="M7" i="31"/>
  <c r="G7" i="31"/>
  <c r="AA6" i="31"/>
  <c r="T6" i="31"/>
  <c r="K11" i="31"/>
  <c r="J11" i="31"/>
  <c r="G6" i="31"/>
  <c r="N15" i="31" l="1"/>
  <c r="N24" i="31"/>
  <c r="U29" i="31"/>
  <c r="U22" i="31"/>
  <c r="U15" i="31"/>
  <c r="AB29" i="31"/>
  <c r="AB22" i="31"/>
  <c r="N43" i="32"/>
  <c r="AB43" i="32"/>
  <c r="L25" i="31"/>
  <c r="L43" i="31" s="1"/>
  <c r="AA20" i="31"/>
  <c r="AB20" i="31" s="1"/>
  <c r="J25" i="31"/>
  <c r="J43" i="31" s="1"/>
  <c r="AB23" i="31"/>
  <c r="U35" i="31"/>
  <c r="I25" i="31"/>
  <c r="I43" i="31" s="1"/>
  <c r="W25" i="31"/>
  <c r="X25" i="31"/>
  <c r="AB35" i="31"/>
  <c r="AC37" i="31"/>
  <c r="V25" i="31"/>
  <c r="S25" i="31"/>
  <c r="S43" i="31" s="1"/>
  <c r="U21" i="31"/>
  <c r="U41" i="31"/>
  <c r="AB16" i="31"/>
  <c r="V43" i="31"/>
  <c r="U36" i="31"/>
  <c r="AC25" i="31"/>
  <c r="AC43" i="31" s="1"/>
  <c r="M20" i="31"/>
  <c r="N20" i="31" s="1"/>
  <c r="I21" i="10" s="1"/>
  <c r="C21" i="10" s="1"/>
  <c r="Z25" i="31"/>
  <c r="Z43" i="31" s="1"/>
  <c r="AA19" i="31"/>
  <c r="AB19" i="31" s="1"/>
  <c r="AA14" i="31"/>
  <c r="AA18" i="31"/>
  <c r="AE43" i="31"/>
  <c r="AD43" i="31"/>
  <c r="Y43" i="31"/>
  <c r="AB32" i="31"/>
  <c r="X43" i="31"/>
  <c r="AB36" i="31"/>
  <c r="AB28" i="31"/>
  <c r="R43" i="31"/>
  <c r="Q43" i="31"/>
  <c r="U9" i="31"/>
  <c r="T42" i="31"/>
  <c r="T11" i="31"/>
  <c r="U8" i="31"/>
  <c r="O43" i="31"/>
  <c r="U34" i="31"/>
  <c r="U30" i="31"/>
  <c r="U24" i="31"/>
  <c r="K43" i="31"/>
  <c r="H43" i="31"/>
  <c r="M37" i="31"/>
  <c r="N7" i="31"/>
  <c r="F43" i="31"/>
  <c r="U18" i="31"/>
  <c r="U20" i="31"/>
  <c r="AB41" i="31"/>
  <c r="G42" i="31"/>
  <c r="N23" i="31"/>
  <c r="I24" i="10" s="1"/>
  <c r="C24" i="10" s="1"/>
  <c r="U23" i="31"/>
  <c r="N18" i="31"/>
  <c r="AB18" i="31"/>
  <c r="C43" i="31"/>
  <c r="N41" i="31"/>
  <c r="N35" i="31"/>
  <c r="AB34" i="31"/>
  <c r="N34" i="31"/>
  <c r="I47" i="10" s="1"/>
  <c r="C47" i="10" s="1"/>
  <c r="N33" i="31"/>
  <c r="U33" i="31"/>
  <c r="AB33" i="31"/>
  <c r="N31" i="31"/>
  <c r="U31" i="31"/>
  <c r="AB31" i="31"/>
  <c r="AB30" i="31"/>
  <c r="N30" i="31"/>
  <c r="AB24" i="31"/>
  <c r="N22" i="31"/>
  <c r="AB21" i="31"/>
  <c r="U19" i="31"/>
  <c r="N19" i="31"/>
  <c r="I20" i="10" s="1"/>
  <c r="C20" i="10" s="1"/>
  <c r="N17" i="31"/>
  <c r="AB17" i="31"/>
  <c r="U17" i="31"/>
  <c r="U16" i="31"/>
  <c r="G25" i="31"/>
  <c r="P2" i="20" s="1"/>
  <c r="N16" i="31"/>
  <c r="AB15" i="31"/>
  <c r="B43" i="31"/>
  <c r="D43" i="31"/>
  <c r="AB8" i="31"/>
  <c r="N8" i="31"/>
  <c r="AB6" i="31"/>
  <c r="N10" i="31"/>
  <c r="U10" i="31"/>
  <c r="N9" i="31"/>
  <c r="AB9" i="31"/>
  <c r="AB7" i="31"/>
  <c r="G11" i="31"/>
  <c r="P2" i="17" s="1"/>
  <c r="U6" i="31"/>
  <c r="T25" i="31"/>
  <c r="U14" i="31"/>
  <c r="U7" i="31"/>
  <c r="M14" i="31"/>
  <c r="U28" i="31"/>
  <c r="U32" i="31"/>
  <c r="G37" i="31"/>
  <c r="F3" i="23" s="1"/>
  <c r="AA37" i="31"/>
  <c r="M6" i="31"/>
  <c r="N29" i="31"/>
  <c r="T37" i="31"/>
  <c r="U40" i="31"/>
  <c r="AA11" i="31"/>
  <c r="N28" i="31"/>
  <c r="N32" i="31"/>
  <c r="N36" i="31"/>
  <c r="P25" i="31"/>
  <c r="P43" i="31" s="1"/>
  <c r="W11" i="31"/>
  <c r="W43" i="31" s="1"/>
  <c r="N40" i="31"/>
  <c r="AA40" i="31"/>
  <c r="AA25" i="31" l="1"/>
  <c r="AB14" i="31"/>
  <c r="U25" i="31"/>
  <c r="U42" i="31"/>
  <c r="U11" i="31"/>
  <c r="N37" i="31"/>
  <c r="N42" i="31"/>
  <c r="U37" i="31"/>
  <c r="AB37" i="31"/>
  <c r="AB25" i="31"/>
  <c r="E43" i="31"/>
  <c r="G43" i="31"/>
  <c r="AB11" i="31"/>
  <c r="AA42" i="31"/>
  <c r="AB42" i="31" s="1"/>
  <c r="AB40" i="31"/>
  <c r="N6" i="31"/>
  <c r="I6" i="10" s="1"/>
  <c r="C6" i="10" s="1"/>
  <c r="M11" i="31"/>
  <c r="T43" i="31"/>
  <c r="M25" i="31"/>
  <c r="N14" i="31"/>
  <c r="AE42" i="30"/>
  <c r="O11" i="30"/>
  <c r="N25" i="31" l="1"/>
  <c r="U43" i="31"/>
  <c r="M43" i="31"/>
  <c r="N43" i="31" s="1"/>
  <c r="N11" i="31"/>
  <c r="AA43" i="31"/>
  <c r="AB43" i="31" s="1"/>
  <c r="V42" i="29"/>
  <c r="AD42" i="30" l="1"/>
  <c r="AC42" i="30"/>
  <c r="Z42" i="30"/>
  <c r="X42" i="30"/>
  <c r="W42" i="30"/>
  <c r="V42" i="30"/>
  <c r="S42" i="30"/>
  <c r="R42" i="30"/>
  <c r="Q42" i="30"/>
  <c r="P42" i="30"/>
  <c r="O42" i="30"/>
  <c r="L42" i="30"/>
  <c r="K42" i="30"/>
  <c r="J42" i="30"/>
  <c r="I42" i="30"/>
  <c r="H42" i="30"/>
  <c r="F42" i="30"/>
  <c r="E42" i="30"/>
  <c r="D42" i="30"/>
  <c r="C42" i="30"/>
  <c r="B42" i="30"/>
  <c r="AA41" i="30"/>
  <c r="T41" i="30"/>
  <c r="M41" i="30"/>
  <c r="G41" i="30"/>
  <c r="Y40" i="30"/>
  <c r="Y42" i="30" s="1"/>
  <c r="T40" i="30"/>
  <c r="M40" i="30"/>
  <c r="M42" i="30" s="1"/>
  <c r="G40" i="30"/>
  <c r="AE37" i="30"/>
  <c r="AD37" i="30"/>
  <c r="AC37" i="30"/>
  <c r="Z37" i="30"/>
  <c r="Y37" i="30"/>
  <c r="X37" i="30"/>
  <c r="W37" i="30"/>
  <c r="V37" i="30"/>
  <c r="S37" i="30"/>
  <c r="R37" i="30"/>
  <c r="Q37" i="30"/>
  <c r="P37" i="30"/>
  <c r="O37" i="30"/>
  <c r="L37" i="30"/>
  <c r="K37" i="30"/>
  <c r="J37" i="30"/>
  <c r="I37" i="30"/>
  <c r="H37" i="30"/>
  <c r="F37" i="30"/>
  <c r="E37" i="30"/>
  <c r="D37" i="30"/>
  <c r="C37" i="30"/>
  <c r="B37" i="30"/>
  <c r="AA36" i="30"/>
  <c r="T36" i="30"/>
  <c r="M36" i="30"/>
  <c r="G36" i="30"/>
  <c r="AA35" i="30"/>
  <c r="T35" i="30"/>
  <c r="M35" i="30"/>
  <c r="G35" i="30"/>
  <c r="AA34" i="30"/>
  <c r="T34" i="30"/>
  <c r="M34" i="30"/>
  <c r="G34" i="30"/>
  <c r="AA33" i="30"/>
  <c r="T33" i="30"/>
  <c r="M33" i="30"/>
  <c r="G33" i="30"/>
  <c r="AA32" i="30"/>
  <c r="T32" i="30"/>
  <c r="M32" i="30"/>
  <c r="G32" i="30"/>
  <c r="AA31" i="30"/>
  <c r="T31" i="30"/>
  <c r="M31" i="30"/>
  <c r="G31" i="30"/>
  <c r="AA30" i="30"/>
  <c r="T30" i="30"/>
  <c r="M30" i="30"/>
  <c r="G30" i="30"/>
  <c r="AA29" i="30"/>
  <c r="T29" i="30"/>
  <c r="M29" i="30"/>
  <c r="G29" i="30"/>
  <c r="AA28" i="30"/>
  <c r="T28" i="30"/>
  <c r="M28" i="30"/>
  <c r="G28" i="30"/>
  <c r="AE25" i="30"/>
  <c r="R25" i="30"/>
  <c r="Q25" i="30"/>
  <c r="O25" i="30"/>
  <c r="H25" i="30"/>
  <c r="F25" i="30"/>
  <c r="E25" i="30"/>
  <c r="D25" i="30"/>
  <c r="C25" i="30"/>
  <c r="B25" i="30"/>
  <c r="Z24" i="30"/>
  <c r="AA24" i="30" s="1"/>
  <c r="T24" i="30"/>
  <c r="M24" i="30"/>
  <c r="G24" i="30"/>
  <c r="AD23" i="30"/>
  <c r="Z23" i="30"/>
  <c r="Y23" i="30"/>
  <c r="W23" i="30"/>
  <c r="V23" i="30"/>
  <c r="S23" i="30"/>
  <c r="P23" i="30"/>
  <c r="L23" i="30"/>
  <c r="K23" i="30"/>
  <c r="J23" i="30"/>
  <c r="I23" i="30"/>
  <c r="G23" i="30"/>
  <c r="AA22" i="30"/>
  <c r="T22" i="30"/>
  <c r="M22" i="30"/>
  <c r="G22" i="30"/>
  <c r="AC21" i="30"/>
  <c r="W21" i="30"/>
  <c r="V21" i="30"/>
  <c r="T21" i="30"/>
  <c r="I21" i="30"/>
  <c r="M21" i="30" s="1"/>
  <c r="G21" i="30"/>
  <c r="AD20" i="30"/>
  <c r="AC20" i="30"/>
  <c r="Z20" i="30"/>
  <c r="Y20" i="30"/>
  <c r="X20" i="30"/>
  <c r="W20" i="30"/>
  <c r="V20" i="30"/>
  <c r="S20" i="30"/>
  <c r="P20" i="30"/>
  <c r="T20" i="30" s="1"/>
  <c r="L20" i="30"/>
  <c r="J20" i="30"/>
  <c r="I20" i="30"/>
  <c r="G20" i="30"/>
  <c r="AD19" i="30"/>
  <c r="AC19" i="30"/>
  <c r="Z19" i="30"/>
  <c r="Y19" i="30"/>
  <c r="X19" i="30"/>
  <c r="W19" i="30"/>
  <c r="V19" i="30"/>
  <c r="S19" i="30"/>
  <c r="P19" i="30"/>
  <c r="T19" i="30" s="1"/>
  <c r="L19" i="30"/>
  <c r="I19" i="30"/>
  <c r="G19" i="30"/>
  <c r="AD18" i="30"/>
  <c r="AC18" i="30"/>
  <c r="Z18" i="30"/>
  <c r="Y18" i="30"/>
  <c r="W18" i="30"/>
  <c r="S18" i="30"/>
  <c r="P18" i="30"/>
  <c r="L18" i="30"/>
  <c r="J18" i="30"/>
  <c r="I18" i="30"/>
  <c r="G18" i="30"/>
  <c r="AD17" i="30"/>
  <c r="AC17" i="30"/>
  <c r="Z17" i="30"/>
  <c r="Y17" i="30"/>
  <c r="W17" i="30"/>
  <c r="V17" i="30"/>
  <c r="S17" i="30"/>
  <c r="P17" i="30"/>
  <c r="T17" i="30" s="1"/>
  <c r="L17" i="30"/>
  <c r="I17" i="30"/>
  <c r="M17" i="30" s="1"/>
  <c r="G17" i="30"/>
  <c r="AD16" i="30"/>
  <c r="AC16" i="30"/>
  <c r="W16" i="30"/>
  <c r="V16" i="30"/>
  <c r="S16" i="30"/>
  <c r="P16" i="30"/>
  <c r="L16" i="30"/>
  <c r="J16" i="30"/>
  <c r="I16" i="30"/>
  <c r="G16" i="30"/>
  <c r="Z15" i="30"/>
  <c r="W15" i="30"/>
  <c r="V15" i="30"/>
  <c r="T15" i="30"/>
  <c r="I15" i="30"/>
  <c r="M15" i="30" s="1"/>
  <c r="G15" i="30"/>
  <c r="AD14" i="30"/>
  <c r="AC14" i="30"/>
  <c r="Y14" i="30"/>
  <c r="W14" i="30"/>
  <c r="V14" i="30"/>
  <c r="P14" i="30"/>
  <c r="L14" i="30"/>
  <c r="K14" i="30"/>
  <c r="J14" i="30"/>
  <c r="I14" i="30"/>
  <c r="G14" i="30"/>
  <c r="AE11" i="30"/>
  <c r="AD11" i="30"/>
  <c r="Z11" i="30"/>
  <c r="Y11" i="30"/>
  <c r="X11" i="30"/>
  <c r="V11" i="30"/>
  <c r="S11" i="30"/>
  <c r="R11" i="30"/>
  <c r="Q11" i="30"/>
  <c r="P11" i="30"/>
  <c r="I11" i="30"/>
  <c r="H11" i="30"/>
  <c r="F11" i="30"/>
  <c r="E11" i="30"/>
  <c r="D11" i="30"/>
  <c r="C11" i="30"/>
  <c r="B11" i="30"/>
  <c r="W10" i="30"/>
  <c r="AA10" i="30" s="1"/>
  <c r="T10" i="30"/>
  <c r="M10" i="30"/>
  <c r="G10" i="30"/>
  <c r="AC9" i="30"/>
  <c r="AC11" i="30" s="1"/>
  <c r="W9" i="30"/>
  <c r="AA9" i="30" s="1"/>
  <c r="T9" i="30"/>
  <c r="L9" i="30"/>
  <c r="K9" i="30"/>
  <c r="G9" i="30"/>
  <c r="W8" i="30"/>
  <c r="AA8" i="30" s="1"/>
  <c r="T8" i="30"/>
  <c r="L8" i="30"/>
  <c r="K8" i="30"/>
  <c r="M8" i="30" s="1"/>
  <c r="G8" i="30"/>
  <c r="W7" i="30"/>
  <c r="AA7" i="30" s="1"/>
  <c r="T7" i="30"/>
  <c r="M7" i="30"/>
  <c r="G7" i="30"/>
  <c r="W6" i="30"/>
  <c r="AA6" i="30" s="1"/>
  <c r="T6" i="30"/>
  <c r="K6" i="30"/>
  <c r="J6" i="30"/>
  <c r="J11" i="30" s="1"/>
  <c r="G6" i="30"/>
  <c r="T18" i="30" l="1"/>
  <c r="AA18" i="30"/>
  <c r="T16" i="30"/>
  <c r="T23" i="30"/>
  <c r="AA23" i="30"/>
  <c r="AB23" i="30" s="1"/>
  <c r="AC25" i="30"/>
  <c r="AA20" i="30"/>
  <c r="AB20" i="30" s="1"/>
  <c r="K25" i="30"/>
  <c r="M20" i="30"/>
  <c r="N20" i="30" s="1"/>
  <c r="AA14" i="30"/>
  <c r="N40" i="30"/>
  <c r="AA40" i="30"/>
  <c r="AA42" i="30" s="1"/>
  <c r="AB36" i="30"/>
  <c r="Z25" i="30"/>
  <c r="Z43" i="30" s="1"/>
  <c r="U19" i="30"/>
  <c r="U15" i="30"/>
  <c r="L11" i="30"/>
  <c r="AA16" i="30"/>
  <c r="AB16" i="30" s="1"/>
  <c r="AA19" i="30"/>
  <c r="AB19" i="30" s="1"/>
  <c r="AE43" i="30"/>
  <c r="AB22" i="30"/>
  <c r="U41" i="30"/>
  <c r="T42" i="30"/>
  <c r="R43" i="30"/>
  <c r="Q43" i="30"/>
  <c r="U24" i="30"/>
  <c r="U10" i="30"/>
  <c r="AB41" i="30"/>
  <c r="AB34" i="30"/>
  <c r="AB28" i="30"/>
  <c r="D43" i="30"/>
  <c r="AB18" i="30"/>
  <c r="U9" i="30"/>
  <c r="U30" i="30"/>
  <c r="AB30" i="30"/>
  <c r="N21" i="30"/>
  <c r="U21" i="30"/>
  <c r="U6" i="30"/>
  <c r="AB33" i="30"/>
  <c r="N33" i="30"/>
  <c r="G37" i="30"/>
  <c r="N32" i="30"/>
  <c r="U32" i="30"/>
  <c r="AB32" i="30"/>
  <c r="N30" i="30"/>
  <c r="AB29" i="30"/>
  <c r="N29" i="30"/>
  <c r="AB24" i="30"/>
  <c r="N22" i="30"/>
  <c r="U17" i="30"/>
  <c r="G25" i="30"/>
  <c r="O2" i="20" s="1"/>
  <c r="N15" i="30"/>
  <c r="N10" i="30"/>
  <c r="AB10" i="30"/>
  <c r="AB9" i="30"/>
  <c r="N8" i="30"/>
  <c r="G11" i="30"/>
  <c r="AB8" i="30"/>
  <c r="L25" i="30"/>
  <c r="AD25" i="30"/>
  <c r="AD43" i="30" s="1"/>
  <c r="AB35" i="30"/>
  <c r="U7" i="30"/>
  <c r="B43" i="30"/>
  <c r="O43" i="30"/>
  <c r="X25" i="30"/>
  <c r="X43" i="30" s="1"/>
  <c r="AA15" i="30"/>
  <c r="AB15" i="30" s="1"/>
  <c r="M16" i="30"/>
  <c r="N16" i="30" s="1"/>
  <c r="U16" i="30"/>
  <c r="N17" i="30"/>
  <c r="AA17" i="30"/>
  <c r="AB17" i="30" s="1"/>
  <c r="M18" i="30"/>
  <c r="N18" i="30" s="1"/>
  <c r="U18" i="30"/>
  <c r="U20" i="30"/>
  <c r="M23" i="30"/>
  <c r="N23" i="30" s="1"/>
  <c r="U23" i="30"/>
  <c r="N24" i="30"/>
  <c r="M37" i="30"/>
  <c r="N34" i="30"/>
  <c r="N36" i="30"/>
  <c r="N41" i="30"/>
  <c r="U8" i="30"/>
  <c r="N7" i="30"/>
  <c r="W25" i="30"/>
  <c r="U29" i="30"/>
  <c r="F43" i="30"/>
  <c r="M14" i="30"/>
  <c r="P25" i="30"/>
  <c r="P43" i="30" s="1"/>
  <c r="M6" i="30"/>
  <c r="AB7" i="30"/>
  <c r="M9" i="30"/>
  <c r="N9" i="30" s="1"/>
  <c r="C43" i="30"/>
  <c r="H43" i="30"/>
  <c r="J25" i="30"/>
  <c r="J43" i="30" s="1"/>
  <c r="T14" i="30"/>
  <c r="U14" i="30" s="1"/>
  <c r="Y25" i="30"/>
  <c r="Y43" i="30" s="1"/>
  <c r="S25" i="30"/>
  <c r="S43" i="30" s="1"/>
  <c r="M19" i="30"/>
  <c r="N19" i="30" s="1"/>
  <c r="AA21" i="30"/>
  <c r="AB21" i="30" s="1"/>
  <c r="U22" i="30"/>
  <c r="T37" i="30"/>
  <c r="AB31" i="30"/>
  <c r="U33" i="30"/>
  <c r="U34" i="30"/>
  <c r="U36" i="30"/>
  <c r="AA11" i="30"/>
  <c r="AB6" i="30"/>
  <c r="AC43" i="30"/>
  <c r="AB14" i="30"/>
  <c r="N14" i="30"/>
  <c r="K11" i="30"/>
  <c r="W11" i="30"/>
  <c r="U28" i="30"/>
  <c r="AA37" i="30"/>
  <c r="T11" i="30"/>
  <c r="I25" i="30"/>
  <c r="I43" i="30" s="1"/>
  <c r="U31" i="30"/>
  <c r="U35" i="30"/>
  <c r="U40" i="30"/>
  <c r="G42" i="30"/>
  <c r="V25" i="30"/>
  <c r="V43" i="30" s="1"/>
  <c r="N28" i="30"/>
  <c r="N31" i="30"/>
  <c r="N35" i="30"/>
  <c r="AE42" i="29"/>
  <c r="AD42" i="29"/>
  <c r="AC42" i="29"/>
  <c r="Z42" i="29"/>
  <c r="X42" i="29"/>
  <c r="W42" i="29"/>
  <c r="S42" i="29"/>
  <c r="R42" i="29"/>
  <c r="Q42" i="29"/>
  <c r="P42" i="29"/>
  <c r="O42" i="29"/>
  <c r="L42" i="29"/>
  <c r="K42" i="29"/>
  <c r="J42" i="29"/>
  <c r="I42" i="29"/>
  <c r="H42" i="29"/>
  <c r="F42" i="29"/>
  <c r="E42" i="29"/>
  <c r="D42" i="29"/>
  <c r="C42" i="29"/>
  <c r="B42" i="29"/>
  <c r="AA41" i="29"/>
  <c r="T41" i="29"/>
  <c r="M41" i="29"/>
  <c r="G41" i="29"/>
  <c r="Y42" i="29"/>
  <c r="T40" i="29"/>
  <c r="T42" i="29" s="1"/>
  <c r="M40" i="29"/>
  <c r="M42" i="29" s="1"/>
  <c r="G40" i="29"/>
  <c r="AE37" i="29"/>
  <c r="AD37" i="29"/>
  <c r="AC37" i="29"/>
  <c r="Z37" i="29"/>
  <c r="Y37" i="29"/>
  <c r="X37" i="29"/>
  <c r="W37" i="29"/>
  <c r="V37" i="29"/>
  <c r="S37" i="29"/>
  <c r="R37" i="29"/>
  <c r="Q37" i="29"/>
  <c r="P37" i="29"/>
  <c r="O37" i="29"/>
  <c r="L37" i="29"/>
  <c r="K37" i="29"/>
  <c r="J37" i="29"/>
  <c r="I37" i="29"/>
  <c r="H37" i="29"/>
  <c r="F37" i="29"/>
  <c r="E37" i="29"/>
  <c r="D37" i="29"/>
  <c r="C37" i="29"/>
  <c r="B37" i="29"/>
  <c r="AA36" i="29"/>
  <c r="T36" i="29"/>
  <c r="M36" i="29"/>
  <c r="G36" i="29"/>
  <c r="AA35" i="29"/>
  <c r="T35" i="29"/>
  <c r="M35" i="29"/>
  <c r="G35" i="29"/>
  <c r="AA34" i="29"/>
  <c r="T34" i="29"/>
  <c r="M34" i="29"/>
  <c r="G34" i="29"/>
  <c r="AA33" i="29"/>
  <c r="T33" i="29"/>
  <c r="M33" i="29"/>
  <c r="G33" i="29"/>
  <c r="AA32" i="29"/>
  <c r="T32" i="29"/>
  <c r="M32" i="29"/>
  <c r="G32" i="29"/>
  <c r="AA31" i="29"/>
  <c r="T31" i="29"/>
  <c r="M31" i="29"/>
  <c r="G31" i="29"/>
  <c r="AA30" i="29"/>
  <c r="T30" i="29"/>
  <c r="M30" i="29"/>
  <c r="G30" i="29"/>
  <c r="AA29" i="29"/>
  <c r="T29" i="29"/>
  <c r="M29" i="29"/>
  <c r="G29" i="29"/>
  <c r="AA28" i="29"/>
  <c r="T28" i="29"/>
  <c r="M28" i="29"/>
  <c r="G28" i="29"/>
  <c r="AE25" i="29"/>
  <c r="R25" i="29"/>
  <c r="Q25" i="29"/>
  <c r="O25" i="29"/>
  <c r="H25" i="29"/>
  <c r="F25" i="29"/>
  <c r="E25" i="29"/>
  <c r="D25" i="29"/>
  <c r="C25" i="29"/>
  <c r="B25" i="29"/>
  <c r="Z24" i="29"/>
  <c r="T24" i="29"/>
  <c r="M24" i="29"/>
  <c r="G24" i="29"/>
  <c r="Z23" i="29"/>
  <c r="Y23" i="29"/>
  <c r="W23" i="29"/>
  <c r="V23" i="29"/>
  <c r="S23" i="29"/>
  <c r="P23" i="29"/>
  <c r="T23" i="29" s="1"/>
  <c r="L23" i="29"/>
  <c r="K23" i="29"/>
  <c r="J23" i="29"/>
  <c r="I23" i="29"/>
  <c r="G23" i="29"/>
  <c r="AA22" i="29"/>
  <c r="T22" i="29"/>
  <c r="M22" i="29"/>
  <c r="G22" i="29"/>
  <c r="W21" i="29"/>
  <c r="V21" i="29"/>
  <c r="S21" i="29"/>
  <c r="T21" i="29" s="1"/>
  <c r="I21" i="29"/>
  <c r="M21" i="29" s="1"/>
  <c r="G21" i="29"/>
  <c r="AD20" i="29"/>
  <c r="AC20" i="29"/>
  <c r="Z20" i="29"/>
  <c r="Y20" i="29"/>
  <c r="X20" i="29"/>
  <c r="W20" i="29"/>
  <c r="V20" i="29"/>
  <c r="P20" i="29"/>
  <c r="T20" i="29" s="1"/>
  <c r="L20" i="29"/>
  <c r="J20" i="29"/>
  <c r="I20" i="29"/>
  <c r="G20" i="29"/>
  <c r="AD19" i="29"/>
  <c r="AC19" i="29"/>
  <c r="Z19" i="29"/>
  <c r="Y19" i="29"/>
  <c r="X19" i="29"/>
  <c r="W19" i="29"/>
  <c r="V19" i="29"/>
  <c r="S19" i="29"/>
  <c r="P19" i="29"/>
  <c r="T19" i="29" s="1"/>
  <c r="L19" i="29"/>
  <c r="I19" i="29"/>
  <c r="M19" i="29" s="1"/>
  <c r="G19" i="29"/>
  <c r="AD18" i="29"/>
  <c r="AC18" i="29"/>
  <c r="Z18" i="29"/>
  <c r="Y18" i="29"/>
  <c r="X18" i="29"/>
  <c r="W18" i="29"/>
  <c r="S18" i="29"/>
  <c r="P18" i="29"/>
  <c r="T18" i="29" s="1"/>
  <c r="L18" i="29"/>
  <c r="K18" i="29"/>
  <c r="J18" i="29"/>
  <c r="I18" i="29"/>
  <c r="G18" i="29"/>
  <c r="AD17" i="29"/>
  <c r="AC17" i="29"/>
  <c r="Z17" i="29"/>
  <c r="Y17" i="29"/>
  <c r="X17" i="29"/>
  <c r="W17" i="29"/>
  <c r="V17" i="29"/>
  <c r="S17" i="29"/>
  <c r="P17" i="29"/>
  <c r="L17" i="29"/>
  <c r="I17" i="29"/>
  <c r="M17" i="29" s="1"/>
  <c r="G17" i="29"/>
  <c r="AC16" i="29"/>
  <c r="Z16" i="29"/>
  <c r="V16" i="29"/>
  <c r="S16" i="29"/>
  <c r="P16" i="29"/>
  <c r="L16" i="29"/>
  <c r="K16" i="29"/>
  <c r="J16" i="29"/>
  <c r="I16" i="29"/>
  <c r="G16" i="29"/>
  <c r="AA15" i="29"/>
  <c r="T15" i="29"/>
  <c r="I15" i="29"/>
  <c r="M15" i="29" s="1"/>
  <c r="G15" i="29"/>
  <c r="AD14" i="29"/>
  <c r="AC14" i="29"/>
  <c r="Y14" i="29"/>
  <c r="X14" i="29"/>
  <c r="W14" i="29"/>
  <c r="V14" i="29"/>
  <c r="P14" i="29"/>
  <c r="T14" i="29" s="1"/>
  <c r="L14" i="29"/>
  <c r="K14" i="29"/>
  <c r="J14" i="29"/>
  <c r="I14" i="29"/>
  <c r="G14" i="29"/>
  <c r="AE11" i="29"/>
  <c r="AD11" i="29"/>
  <c r="Z11" i="29"/>
  <c r="Y11" i="29"/>
  <c r="X11" i="29"/>
  <c r="V11" i="29"/>
  <c r="S11" i="29"/>
  <c r="R11" i="29"/>
  <c r="R43" i="29" s="1"/>
  <c r="Q11" i="29"/>
  <c r="P11" i="29"/>
  <c r="O11" i="29"/>
  <c r="I11" i="29"/>
  <c r="H11" i="29"/>
  <c r="F11" i="29"/>
  <c r="E11" i="29"/>
  <c r="D11" i="29"/>
  <c r="C11" i="29"/>
  <c r="B11" i="29"/>
  <c r="W10" i="29"/>
  <c r="AA10" i="29" s="1"/>
  <c r="T10" i="29"/>
  <c r="M10" i="29"/>
  <c r="G10" i="29"/>
  <c r="AC9" i="29"/>
  <c r="AC11" i="29" s="1"/>
  <c r="W9" i="29"/>
  <c r="AA9" i="29" s="1"/>
  <c r="T9" i="29"/>
  <c r="L9" i="29"/>
  <c r="M9" i="29"/>
  <c r="G9" i="29"/>
  <c r="W8" i="29"/>
  <c r="AA8" i="29" s="1"/>
  <c r="T8" i="29"/>
  <c r="L8" i="29"/>
  <c r="L11" i="29" s="1"/>
  <c r="G8" i="29"/>
  <c r="W7" i="29"/>
  <c r="AA7" i="29" s="1"/>
  <c r="T7" i="29"/>
  <c r="M7" i="29"/>
  <c r="G7" i="29"/>
  <c r="W6" i="29"/>
  <c r="AA6" i="29" s="1"/>
  <c r="T6" i="29"/>
  <c r="K6" i="29"/>
  <c r="J6" i="29"/>
  <c r="J11" i="29" s="1"/>
  <c r="G6" i="29"/>
  <c r="AB40" i="30" l="1"/>
  <c r="K43" i="30"/>
  <c r="L43" i="30"/>
  <c r="M25" i="30"/>
  <c r="W43" i="30"/>
  <c r="T16" i="29"/>
  <c r="M23" i="29"/>
  <c r="N23" i="29" s="1"/>
  <c r="U19" i="29"/>
  <c r="M11" i="30"/>
  <c r="N11" i="30" s="1"/>
  <c r="AB31" i="29"/>
  <c r="AA21" i="29"/>
  <c r="AB21" i="29" s="1"/>
  <c r="AA25" i="30"/>
  <c r="AB25" i="30" s="1"/>
  <c r="T25" i="30"/>
  <c r="U25" i="30" s="1"/>
  <c r="N6" i="30"/>
  <c r="E43" i="30"/>
  <c r="AB37" i="30"/>
  <c r="N37" i="30"/>
  <c r="E3" i="23"/>
  <c r="U37" i="30"/>
  <c r="AB29" i="29"/>
  <c r="Q43" i="29"/>
  <c r="U31" i="29"/>
  <c r="M37" i="29"/>
  <c r="F43" i="29"/>
  <c r="U21" i="29"/>
  <c r="AB15" i="29"/>
  <c r="U10" i="29"/>
  <c r="G42" i="29"/>
  <c r="N42" i="29" s="1"/>
  <c r="AB41" i="29"/>
  <c r="N36" i="29"/>
  <c r="U36" i="29"/>
  <c r="AB36" i="29"/>
  <c r="AB34" i="29"/>
  <c r="U33" i="29"/>
  <c r="N35" i="29"/>
  <c r="AB35" i="29"/>
  <c r="N34" i="29"/>
  <c r="U34" i="29"/>
  <c r="AB33" i="29"/>
  <c r="N33" i="29"/>
  <c r="AB32" i="29"/>
  <c r="AB30" i="29"/>
  <c r="U29" i="29"/>
  <c r="N29" i="29"/>
  <c r="U28" i="29"/>
  <c r="AB28" i="29"/>
  <c r="N24" i="29"/>
  <c r="U24" i="29"/>
  <c r="U23" i="29"/>
  <c r="N22" i="29"/>
  <c r="U22" i="29"/>
  <c r="AB22" i="29"/>
  <c r="U20" i="29"/>
  <c r="N15" i="29"/>
  <c r="U15" i="29"/>
  <c r="N10" i="29"/>
  <c r="U7" i="29"/>
  <c r="AB7" i="29"/>
  <c r="W25" i="29"/>
  <c r="G25" i="29"/>
  <c r="N2" i="20" s="1"/>
  <c r="AD25" i="29"/>
  <c r="AD43" i="29" s="1"/>
  <c r="L25" i="29"/>
  <c r="L43" i="29" s="1"/>
  <c r="AB42" i="30"/>
  <c r="G43" i="30"/>
  <c r="N42" i="30"/>
  <c r="M8" i="29"/>
  <c r="N8" i="29" s="1"/>
  <c r="B43" i="29"/>
  <c r="U14" i="29"/>
  <c r="M14" i="29"/>
  <c r="N14" i="29" s="1"/>
  <c r="X25" i="29"/>
  <c r="X43" i="29" s="1"/>
  <c r="M16" i="29"/>
  <c r="N16" i="29" s="1"/>
  <c r="N17" i="29"/>
  <c r="M18" i="29"/>
  <c r="N18" i="29" s="1"/>
  <c r="Y25" i="29"/>
  <c r="Y43" i="29" s="1"/>
  <c r="H43" i="29"/>
  <c r="S25" i="29"/>
  <c r="S43" i="29" s="1"/>
  <c r="AA19" i="29"/>
  <c r="AB19" i="29" s="1"/>
  <c r="AA23" i="29"/>
  <c r="AB23" i="29" s="1"/>
  <c r="N30" i="29"/>
  <c r="N32" i="29"/>
  <c r="U41" i="29"/>
  <c r="O2" i="17"/>
  <c r="O43" i="29"/>
  <c r="P25" i="29"/>
  <c r="P43" i="29" s="1"/>
  <c r="U16" i="29"/>
  <c r="AA17" i="29"/>
  <c r="AB17" i="29" s="1"/>
  <c r="U18" i="29"/>
  <c r="N25" i="30"/>
  <c r="C43" i="29"/>
  <c r="J25" i="29"/>
  <c r="J43" i="29" s="1"/>
  <c r="N19" i="29"/>
  <c r="N31" i="29"/>
  <c r="M6" i="29"/>
  <c r="N6" i="29" s="1"/>
  <c r="D43" i="29"/>
  <c r="AE43" i="29"/>
  <c r="K25" i="29"/>
  <c r="AA14" i="29"/>
  <c r="AC25" i="29"/>
  <c r="AC43" i="29" s="1"/>
  <c r="Z25" i="29"/>
  <c r="Z43" i="29" s="1"/>
  <c r="AA16" i="29"/>
  <c r="AB16" i="29" s="1"/>
  <c r="T17" i="29"/>
  <c r="U17" i="29" s="1"/>
  <c r="AA18" i="29"/>
  <c r="AB18" i="29" s="1"/>
  <c r="M20" i="29"/>
  <c r="N20" i="29" s="1"/>
  <c r="AA20" i="29"/>
  <c r="AB20" i="29" s="1"/>
  <c r="N21" i="29"/>
  <c r="AA24" i="29"/>
  <c r="AB24" i="29" s="1"/>
  <c r="G37" i="29"/>
  <c r="D3" i="23" s="1"/>
  <c r="U30" i="29"/>
  <c r="U32" i="29"/>
  <c r="U35" i="29"/>
  <c r="N41" i="29"/>
  <c r="U11" i="30"/>
  <c r="U42" i="30"/>
  <c r="AB11" i="30"/>
  <c r="N9" i="29"/>
  <c r="AB9" i="29"/>
  <c r="U8" i="29"/>
  <c r="G11" i="29"/>
  <c r="N2" i="17" s="1"/>
  <c r="U6" i="29"/>
  <c r="N7" i="29"/>
  <c r="AB8" i="29"/>
  <c r="U9" i="29"/>
  <c r="AB10" i="29"/>
  <c r="AA11" i="29"/>
  <c r="AB6" i="29"/>
  <c r="T11" i="29"/>
  <c r="U40" i="29"/>
  <c r="K11" i="29"/>
  <c r="W11" i="29"/>
  <c r="AA37" i="29"/>
  <c r="T37" i="29"/>
  <c r="V25" i="29"/>
  <c r="V43" i="29" s="1"/>
  <c r="N28" i="29"/>
  <c r="I25" i="29"/>
  <c r="I43" i="29" s="1"/>
  <c r="N40" i="29"/>
  <c r="AA40" i="29"/>
  <c r="T25" i="29" l="1"/>
  <c r="AA43" i="30"/>
  <c r="AB43" i="30" s="1"/>
  <c r="U42" i="29"/>
  <c r="M43" i="30"/>
  <c r="T43" i="30"/>
  <c r="U43" i="30" s="1"/>
  <c r="N43" i="30"/>
  <c r="AA25" i="29"/>
  <c r="W43" i="29"/>
  <c r="M11" i="29"/>
  <c r="E43" i="29"/>
  <c r="U37" i="29"/>
  <c r="U25" i="29"/>
  <c r="K43" i="29"/>
  <c r="AB14" i="29"/>
  <c r="M25" i="29"/>
  <c r="N37" i="29"/>
  <c r="AB37" i="29"/>
  <c r="G43" i="29"/>
  <c r="AB11" i="29"/>
  <c r="U11" i="29"/>
  <c r="T43" i="29"/>
  <c r="AA42" i="29"/>
  <c r="AB42" i="29" s="1"/>
  <c r="AB40" i="29"/>
  <c r="AB25" i="29" l="1"/>
  <c r="M43" i="29"/>
  <c r="N43" i="29" s="1"/>
  <c r="N11" i="29"/>
  <c r="N25" i="29"/>
  <c r="U43" i="29"/>
  <c r="AA43" i="29"/>
  <c r="AB43" i="29" s="1"/>
  <c r="S42" i="28" l="1"/>
  <c r="I11" i="28"/>
  <c r="K42" i="28"/>
  <c r="J42" i="28"/>
  <c r="H42" i="28"/>
  <c r="T28" i="28"/>
  <c r="AA41" i="28"/>
  <c r="AA36" i="28"/>
  <c r="AA35" i="28"/>
  <c r="AA34" i="28"/>
  <c r="AA33" i="28"/>
  <c r="AA32" i="28"/>
  <c r="AA31" i="28"/>
  <c r="AA30" i="28"/>
  <c r="AA29" i="28"/>
  <c r="AA28" i="28"/>
  <c r="AA22" i="28"/>
  <c r="V42" i="28"/>
  <c r="T41" i="28" l="1"/>
  <c r="T40" i="28"/>
  <c r="T36" i="28"/>
  <c r="T35" i="28"/>
  <c r="T34" i="28"/>
  <c r="T33" i="28"/>
  <c r="T32" i="28"/>
  <c r="T31" i="28"/>
  <c r="T30" i="28"/>
  <c r="T29" i="28"/>
  <c r="T24" i="28"/>
  <c r="T22" i="28"/>
  <c r="T15" i="28"/>
  <c r="T10" i="28"/>
  <c r="T9" i="28"/>
  <c r="T7" i="28"/>
  <c r="M41" i="28"/>
  <c r="M40" i="28"/>
  <c r="M36" i="28"/>
  <c r="M35" i="28"/>
  <c r="M34" i="28"/>
  <c r="M33" i="28"/>
  <c r="M32" i="28"/>
  <c r="M31" i="28"/>
  <c r="M30" i="28"/>
  <c r="M29" i="28"/>
  <c r="M28" i="28"/>
  <c r="M22" i="28"/>
  <c r="M10" i="28"/>
  <c r="M7" i="28"/>
  <c r="G6" i="28" l="1"/>
  <c r="G7" i="28"/>
  <c r="G8" i="28"/>
  <c r="G9" i="28"/>
  <c r="G10" i="28"/>
  <c r="G11" i="28" l="1"/>
  <c r="M2" i="17" s="1"/>
  <c r="AE42" i="28"/>
  <c r="AD42" i="28"/>
  <c r="AC42" i="28"/>
  <c r="X42" i="28"/>
  <c r="W42" i="28"/>
  <c r="R42" i="28"/>
  <c r="Q42" i="28"/>
  <c r="P42" i="28"/>
  <c r="O42" i="28"/>
  <c r="M42" i="28"/>
  <c r="L42" i="28"/>
  <c r="I42" i="28"/>
  <c r="F42" i="28"/>
  <c r="E42" i="28"/>
  <c r="D42" i="28"/>
  <c r="C42" i="28"/>
  <c r="B42" i="28"/>
  <c r="G41" i="28"/>
  <c r="Z42" i="28"/>
  <c r="Y40" i="28"/>
  <c r="G40" i="28"/>
  <c r="N40" i="28" s="1"/>
  <c r="AE37" i="28"/>
  <c r="AD37" i="28"/>
  <c r="AC37" i="28"/>
  <c r="Z37" i="28"/>
  <c r="Y37" i="28"/>
  <c r="X37" i="28"/>
  <c r="W37" i="28"/>
  <c r="V37" i="28"/>
  <c r="S37" i="28"/>
  <c r="R37" i="28"/>
  <c r="Q37" i="28"/>
  <c r="P37" i="28"/>
  <c r="O37" i="28"/>
  <c r="L37" i="28"/>
  <c r="K37" i="28"/>
  <c r="J37" i="28"/>
  <c r="I37" i="28"/>
  <c r="H37" i="28"/>
  <c r="F37" i="28"/>
  <c r="E37" i="28"/>
  <c r="D37" i="28"/>
  <c r="C37" i="28"/>
  <c r="B37" i="28"/>
  <c r="G36" i="28"/>
  <c r="U36" i="28" s="1"/>
  <c r="G35" i="28"/>
  <c r="G34" i="28"/>
  <c r="N34" i="28" s="1"/>
  <c r="G33" i="28"/>
  <c r="G32" i="28"/>
  <c r="U32" i="28" s="1"/>
  <c r="G31" i="28"/>
  <c r="G30" i="28"/>
  <c r="N30" i="28" s="1"/>
  <c r="G29" i="28"/>
  <c r="G28" i="28"/>
  <c r="U28" i="28" s="1"/>
  <c r="AE25" i="28"/>
  <c r="R25" i="28"/>
  <c r="Q25" i="28"/>
  <c r="O25" i="28"/>
  <c r="H25" i="28"/>
  <c r="F25" i="28"/>
  <c r="E25" i="28"/>
  <c r="D25" i="28"/>
  <c r="C25" i="28"/>
  <c r="B25" i="28"/>
  <c r="Z24" i="28"/>
  <c r="V24" i="28"/>
  <c r="AA24" i="28" s="1"/>
  <c r="I24" i="28"/>
  <c r="M24" i="28" s="1"/>
  <c r="G24" i="28"/>
  <c r="AD23" i="28"/>
  <c r="Z23" i="28"/>
  <c r="Y23" i="28"/>
  <c r="W23" i="28"/>
  <c r="V23" i="28"/>
  <c r="S23" i="28"/>
  <c r="P23" i="28"/>
  <c r="L23" i="28"/>
  <c r="K23" i="28"/>
  <c r="J23" i="28"/>
  <c r="I23" i="28"/>
  <c r="G23" i="28"/>
  <c r="G22" i="28"/>
  <c r="AC21" i="28"/>
  <c r="Y21" i="28"/>
  <c r="W21" i="28"/>
  <c r="V21" i="28"/>
  <c r="AA21" i="28" s="1"/>
  <c r="S21" i="28"/>
  <c r="T21" i="28" s="1"/>
  <c r="I21" i="28"/>
  <c r="M21" i="28" s="1"/>
  <c r="G21" i="28"/>
  <c r="AD20" i="28"/>
  <c r="AC20" i="28"/>
  <c r="Z20" i="28"/>
  <c r="Y20" i="28"/>
  <c r="X20" i="28"/>
  <c r="W20" i="28"/>
  <c r="V20" i="28"/>
  <c r="S20" i="28"/>
  <c r="P20" i="28"/>
  <c r="L20" i="28"/>
  <c r="J20" i="28"/>
  <c r="I20" i="28"/>
  <c r="G20" i="28"/>
  <c r="AD19" i="28"/>
  <c r="AC19" i="28"/>
  <c r="Z19" i="28"/>
  <c r="Y19" i="28"/>
  <c r="X19" i="28"/>
  <c r="W19" i="28"/>
  <c r="V19" i="28"/>
  <c r="S19" i="28"/>
  <c r="P19" i="28"/>
  <c r="T19" i="28" s="1"/>
  <c r="L19" i="28"/>
  <c r="I19" i="28"/>
  <c r="M19" i="28" s="1"/>
  <c r="G19" i="28"/>
  <c r="AD18" i="28"/>
  <c r="AC18" i="28"/>
  <c r="Z18" i="28"/>
  <c r="Y18" i="28"/>
  <c r="X18" i="28"/>
  <c r="W18" i="28"/>
  <c r="S18" i="28"/>
  <c r="P18" i="28"/>
  <c r="T18" i="28" s="1"/>
  <c r="L18" i="28"/>
  <c r="K18" i="28"/>
  <c r="J18" i="28"/>
  <c r="I18" i="28"/>
  <c r="G18" i="28"/>
  <c r="AD17" i="28"/>
  <c r="AC17" i="28"/>
  <c r="Z17" i="28"/>
  <c r="Y17" i="28"/>
  <c r="X17" i="28"/>
  <c r="W17" i="28"/>
  <c r="V17" i="28"/>
  <c r="S17" i="28"/>
  <c r="P17" i="28"/>
  <c r="L17" i="28"/>
  <c r="I17" i="28"/>
  <c r="M17" i="28" s="1"/>
  <c r="G17" i="28"/>
  <c r="AD16" i="28"/>
  <c r="AC16" i="28"/>
  <c r="Z16" i="28"/>
  <c r="W16" i="28"/>
  <c r="V16" i="28"/>
  <c r="S16" i="28"/>
  <c r="P16" i="28"/>
  <c r="L16" i="28"/>
  <c r="K16" i="28"/>
  <c r="J16" i="28"/>
  <c r="I16" i="28"/>
  <c r="G16" i="28"/>
  <c r="Z15" i="28"/>
  <c r="W15" i="28"/>
  <c r="V15" i="28"/>
  <c r="AA15" i="28" s="1"/>
  <c r="I15" i="28"/>
  <c r="M15" i="28" s="1"/>
  <c r="G15" i="28"/>
  <c r="AD14" i="28"/>
  <c r="AC14" i="28"/>
  <c r="Y14" i="28"/>
  <c r="Y25" i="28" s="1"/>
  <c r="X14" i="28"/>
  <c r="W14" i="28"/>
  <c r="V14" i="28"/>
  <c r="P14" i="28"/>
  <c r="T14" i="28" s="1"/>
  <c r="L14" i="28"/>
  <c r="K14" i="28"/>
  <c r="J14" i="28"/>
  <c r="I14" i="28"/>
  <c r="M14" i="28" s="1"/>
  <c r="G14" i="28"/>
  <c r="AE11" i="28"/>
  <c r="AD11" i="28"/>
  <c r="Z11" i="28"/>
  <c r="Y11" i="28"/>
  <c r="X11" i="28"/>
  <c r="V11" i="28"/>
  <c r="S11" i="28"/>
  <c r="R11" i="28"/>
  <c r="Q11" i="28"/>
  <c r="P11" i="28"/>
  <c r="O11" i="28"/>
  <c r="H11" i="28"/>
  <c r="F11" i="28"/>
  <c r="E11" i="28"/>
  <c r="D11" i="28"/>
  <c r="C11" i="28"/>
  <c r="B11" i="28"/>
  <c r="W10" i="28"/>
  <c r="AA10" i="28" s="1"/>
  <c r="AB10" i="28" s="1"/>
  <c r="U10" i="28"/>
  <c r="N10" i="28"/>
  <c r="AC9" i="28"/>
  <c r="AC11" i="28" s="1"/>
  <c r="W9" i="28"/>
  <c r="U9" i="28"/>
  <c r="L9" i="28"/>
  <c r="K9" i="28"/>
  <c r="W8" i="28"/>
  <c r="AA8" i="28" s="1"/>
  <c r="T8" i="28"/>
  <c r="L8" i="28"/>
  <c r="K8" i="28"/>
  <c r="W7" i="28"/>
  <c r="AA7" i="28" s="1"/>
  <c r="N7" i="28"/>
  <c r="U7" i="28"/>
  <c r="AC6" i="28"/>
  <c r="W6" i="28"/>
  <c r="AA6" i="28" s="1"/>
  <c r="T6" i="28"/>
  <c r="U6" i="28" s="1"/>
  <c r="K6" i="28"/>
  <c r="J6" i="28"/>
  <c r="J11" i="28" s="1"/>
  <c r="L25" i="28" l="1"/>
  <c r="L11" i="28"/>
  <c r="L43" i="28" s="1"/>
  <c r="O43" i="28"/>
  <c r="T16" i="28"/>
  <c r="T20" i="28"/>
  <c r="U20" i="28" s="1"/>
  <c r="M9" i="28"/>
  <c r="N9" i="28" s="1"/>
  <c r="AA17" i="28"/>
  <c r="AB17" i="28" s="1"/>
  <c r="M18" i="28"/>
  <c r="N18" i="28" s="1"/>
  <c r="AA23" i="28"/>
  <c r="K11" i="28"/>
  <c r="AD25" i="28"/>
  <c r="AD43" i="28" s="1"/>
  <c r="J25" i="28"/>
  <c r="J43" i="28" s="1"/>
  <c r="S25" i="28"/>
  <c r="AA19" i="28"/>
  <c r="AB19" i="28" s="1"/>
  <c r="U21" i="28"/>
  <c r="M6" i="28"/>
  <c r="M11" i="28" s="1"/>
  <c r="M8" i="28"/>
  <c r="N8" i="28" s="1"/>
  <c r="AA9" i="28"/>
  <c r="AB9" i="28" s="1"/>
  <c r="X25" i="28"/>
  <c r="AB15" i="28"/>
  <c r="AA16" i="28"/>
  <c r="T17" i="28"/>
  <c r="U17" i="28" s="1"/>
  <c r="AA18" i="28"/>
  <c r="AB18" i="28" s="1"/>
  <c r="M20" i="28"/>
  <c r="N20" i="28" s="1"/>
  <c r="AA20" i="28"/>
  <c r="AB20" i="28" s="1"/>
  <c r="M23" i="28"/>
  <c r="N23" i="28" s="1"/>
  <c r="T23" i="28"/>
  <c r="U23" i="28" s="1"/>
  <c r="Y42" i="28"/>
  <c r="Y43" i="28" s="1"/>
  <c r="AA40" i="28"/>
  <c r="AA42" i="28" s="1"/>
  <c r="S43" i="28"/>
  <c r="R43" i="28"/>
  <c r="Q43" i="28"/>
  <c r="U35" i="28"/>
  <c r="AB35" i="28"/>
  <c r="U29" i="28"/>
  <c r="AB29" i="28"/>
  <c r="F43" i="28"/>
  <c r="N35" i="28"/>
  <c r="U40" i="28"/>
  <c r="U30" i="28"/>
  <c r="N36" i="28"/>
  <c r="AB30" i="28"/>
  <c r="N29" i="28"/>
  <c r="AB23" i="28"/>
  <c r="AB22" i="28"/>
  <c r="AB21" i="28"/>
  <c r="N21" i="28"/>
  <c r="U19" i="28"/>
  <c r="N15" i="28"/>
  <c r="U15" i="28"/>
  <c r="U41" i="28"/>
  <c r="AB41" i="28"/>
  <c r="N41" i="28"/>
  <c r="AB34" i="28"/>
  <c r="U34" i="28"/>
  <c r="N33" i="28"/>
  <c r="U33" i="28"/>
  <c r="AB33" i="28"/>
  <c r="G37" i="28"/>
  <c r="C3" i="23" s="1"/>
  <c r="N31" i="28"/>
  <c r="U31" i="28"/>
  <c r="AB31" i="28"/>
  <c r="N24" i="28"/>
  <c r="N22" i="28"/>
  <c r="U22" i="28"/>
  <c r="N19" i="28"/>
  <c r="U18" i="28"/>
  <c r="N17" i="28"/>
  <c r="U16" i="28"/>
  <c r="AB16" i="28"/>
  <c r="U14" i="28"/>
  <c r="B43" i="28"/>
  <c r="X43" i="28"/>
  <c r="AB32" i="28"/>
  <c r="W11" i="28"/>
  <c r="AE43" i="28"/>
  <c r="K25" i="28"/>
  <c r="V25" i="28"/>
  <c r="V43" i="28" s="1"/>
  <c r="Z25" i="28"/>
  <c r="Z43" i="28" s="1"/>
  <c r="AB28" i="28"/>
  <c r="N32" i="28"/>
  <c r="AA37" i="28"/>
  <c r="AB8" i="28"/>
  <c r="C43" i="28"/>
  <c r="H43" i="28"/>
  <c r="T11" i="28"/>
  <c r="G25" i="28"/>
  <c r="M2" i="20" s="1"/>
  <c r="W25" i="28"/>
  <c r="M16" i="28"/>
  <c r="N16" i="28" s="1"/>
  <c r="AB24" i="28"/>
  <c r="P25" i="28"/>
  <c r="P43" i="28" s="1"/>
  <c r="M37" i="28"/>
  <c r="T42" i="28"/>
  <c r="U8" i="28"/>
  <c r="U24" i="28"/>
  <c r="AB7" i="28"/>
  <c r="D43" i="28"/>
  <c r="N14" i="28"/>
  <c r="AC25" i="28"/>
  <c r="AC43" i="28" s="1"/>
  <c r="AB36" i="28"/>
  <c r="I25" i="28"/>
  <c r="I43" i="28" s="1"/>
  <c r="AA14" i="28"/>
  <c r="T37" i="28"/>
  <c r="G42" i="28"/>
  <c r="N42" i="28" s="1"/>
  <c r="N28" i="28"/>
  <c r="N6" i="28" l="1"/>
  <c r="K43" i="28"/>
  <c r="T25" i="28"/>
  <c r="U37" i="28"/>
  <c r="E43" i="28"/>
  <c r="N37" i="28"/>
  <c r="AB37" i="28"/>
  <c r="U25" i="28"/>
  <c r="G43" i="28"/>
  <c r="AA25" i="28"/>
  <c r="AB14" i="28"/>
  <c r="M25" i="28"/>
  <c r="W43" i="28"/>
  <c r="N11" i="28"/>
  <c r="U11" i="28"/>
  <c r="T43" i="28"/>
  <c r="U42" i="28"/>
  <c r="AB42" i="28"/>
  <c r="AB40" i="28"/>
  <c r="AA11" i="28"/>
  <c r="AB6" i="28"/>
  <c r="AE42" i="27"/>
  <c r="AD42" i="27"/>
  <c r="AC42" i="27"/>
  <c r="X42" i="27"/>
  <c r="W42" i="27"/>
  <c r="V42" i="27"/>
  <c r="R42" i="27"/>
  <c r="Q42" i="27"/>
  <c r="P42" i="27"/>
  <c r="O42" i="27"/>
  <c r="L42" i="27"/>
  <c r="K42" i="27"/>
  <c r="I42" i="27"/>
  <c r="F42" i="27"/>
  <c r="E42" i="27"/>
  <c r="D42" i="27"/>
  <c r="C42" i="27"/>
  <c r="B42" i="27"/>
  <c r="AA41" i="27"/>
  <c r="T41" i="27"/>
  <c r="M41" i="27"/>
  <c r="G41" i="27"/>
  <c r="Z42" i="27"/>
  <c r="T40" i="27"/>
  <c r="T42" i="27" s="1"/>
  <c r="G40" i="27"/>
  <c r="AE37" i="27"/>
  <c r="AD37" i="27"/>
  <c r="AC37" i="27"/>
  <c r="Z37" i="27"/>
  <c r="Y37" i="27"/>
  <c r="X37" i="27"/>
  <c r="W37" i="27"/>
  <c r="V37" i="27"/>
  <c r="S37" i="27"/>
  <c r="R37" i="27"/>
  <c r="Q37" i="27"/>
  <c r="P37" i="27"/>
  <c r="O37" i="27"/>
  <c r="L37" i="27"/>
  <c r="K37" i="27"/>
  <c r="J37" i="27"/>
  <c r="I37" i="27"/>
  <c r="H37" i="27"/>
  <c r="F37" i="27"/>
  <c r="E37" i="27"/>
  <c r="D37" i="27"/>
  <c r="C37" i="27"/>
  <c r="B37" i="27"/>
  <c r="AA36" i="27"/>
  <c r="T36" i="27"/>
  <c r="M36" i="27"/>
  <c r="G36" i="27"/>
  <c r="U36" i="27" s="1"/>
  <c r="AA35" i="27"/>
  <c r="T35" i="27"/>
  <c r="M35" i="27"/>
  <c r="G35" i="27"/>
  <c r="AA34" i="27"/>
  <c r="T34" i="27"/>
  <c r="U34" i="27" s="1"/>
  <c r="M34" i="27"/>
  <c r="G34" i="27"/>
  <c r="AA33" i="27"/>
  <c r="T33" i="27"/>
  <c r="M33" i="27"/>
  <c r="G33" i="27"/>
  <c r="AA32" i="27"/>
  <c r="T32" i="27"/>
  <c r="M32" i="27"/>
  <c r="G32" i="27"/>
  <c r="U32" i="27" s="1"/>
  <c r="AA31" i="27"/>
  <c r="T31" i="27"/>
  <c r="M31" i="27"/>
  <c r="G31" i="27"/>
  <c r="U31" i="27" s="1"/>
  <c r="AA30" i="27"/>
  <c r="T30" i="27"/>
  <c r="M30" i="27"/>
  <c r="G30" i="27"/>
  <c r="AA29" i="27"/>
  <c r="T29" i="27"/>
  <c r="M29" i="27"/>
  <c r="G29" i="27"/>
  <c r="AA28" i="27"/>
  <c r="T28" i="27"/>
  <c r="M28" i="27"/>
  <c r="G28" i="27"/>
  <c r="AE25" i="27"/>
  <c r="R25" i="27"/>
  <c r="Q25" i="27"/>
  <c r="O25" i="27"/>
  <c r="H25" i="27"/>
  <c r="F25" i="27"/>
  <c r="E25" i="27"/>
  <c r="D25" i="27"/>
  <c r="C25" i="27"/>
  <c r="B25" i="27"/>
  <c r="T24" i="27"/>
  <c r="G24" i="27"/>
  <c r="G23" i="27"/>
  <c r="AA22" i="27"/>
  <c r="T22" i="27"/>
  <c r="M22" i="27"/>
  <c r="G22" i="27"/>
  <c r="N22" i="27" s="1"/>
  <c r="G21" i="27"/>
  <c r="G20" i="27"/>
  <c r="G19" i="27"/>
  <c r="G18" i="27"/>
  <c r="G17" i="27"/>
  <c r="G16" i="27"/>
  <c r="T15" i="27"/>
  <c r="G15" i="27"/>
  <c r="N15" i="27" s="1"/>
  <c r="G14" i="27"/>
  <c r="AE11" i="27"/>
  <c r="AD11" i="27"/>
  <c r="Z11" i="27"/>
  <c r="Y11" i="27"/>
  <c r="X11" i="27"/>
  <c r="V11" i="27"/>
  <c r="S11" i="27"/>
  <c r="R11" i="27"/>
  <c r="Q11" i="27"/>
  <c r="P11" i="27"/>
  <c r="O11" i="27"/>
  <c r="I11" i="27"/>
  <c r="H11" i="27"/>
  <c r="F11" i="27"/>
  <c r="E11" i="27"/>
  <c r="D11" i="27"/>
  <c r="C11" i="27"/>
  <c r="B11" i="27"/>
  <c r="AA10" i="27"/>
  <c r="T10" i="27"/>
  <c r="M10" i="27"/>
  <c r="G10" i="27"/>
  <c r="AA9" i="27"/>
  <c r="T9" i="27"/>
  <c r="G9" i="27"/>
  <c r="AA8" i="27"/>
  <c r="T8" i="27"/>
  <c r="G8" i="27"/>
  <c r="AA7" i="27"/>
  <c r="T7" i="27"/>
  <c r="M7" i="27"/>
  <c r="G7" i="27"/>
  <c r="AA6" i="27"/>
  <c r="T6" i="27"/>
  <c r="G6" i="27"/>
  <c r="R43" i="27" l="1"/>
  <c r="AB29" i="27"/>
  <c r="N35" i="27"/>
  <c r="U41" i="27"/>
  <c r="U10" i="27"/>
  <c r="AB8" i="27"/>
  <c r="G11" i="27"/>
  <c r="K2" i="17" s="1"/>
  <c r="AB32" i="27"/>
  <c r="U8" i="27"/>
  <c r="U29" i="27"/>
  <c r="N33" i="27"/>
  <c r="H43" i="27"/>
  <c r="N10" i="27"/>
  <c r="AB22" i="27"/>
  <c r="U24" i="27"/>
  <c r="U33" i="27"/>
  <c r="U35" i="27"/>
  <c r="U22" i="27"/>
  <c r="N29" i="27"/>
  <c r="N7" i="27"/>
  <c r="AB33" i="27"/>
  <c r="AB9" i="27"/>
  <c r="G25" i="27"/>
  <c r="K2" i="20" s="1"/>
  <c r="U15" i="27"/>
  <c r="AB7" i="27"/>
  <c r="D43" i="27"/>
  <c r="U6" i="27"/>
  <c r="AB10" i="27"/>
  <c r="N25" i="28"/>
  <c r="O43" i="27"/>
  <c r="AB30" i="27"/>
  <c r="N36" i="27"/>
  <c r="B43" i="27"/>
  <c r="F43" i="27"/>
  <c r="N32" i="27"/>
  <c r="AB25" i="28"/>
  <c r="U7" i="27"/>
  <c r="U9" i="27"/>
  <c r="C43" i="27"/>
  <c r="Q43" i="27"/>
  <c r="AE43" i="27"/>
  <c r="U30" i="27"/>
  <c r="AB34" i="27"/>
  <c r="AB36" i="27"/>
  <c r="G42" i="27"/>
  <c r="U42" i="27" s="1"/>
  <c r="N41" i="27"/>
  <c r="M42" i="27"/>
  <c r="N42" i="27" s="1"/>
  <c r="T17" i="27"/>
  <c r="U17" i="27" s="1"/>
  <c r="T21" i="27"/>
  <c r="U21" i="27" s="1"/>
  <c r="M43" i="28"/>
  <c r="N43" i="28" s="1"/>
  <c r="L25" i="27"/>
  <c r="AA15" i="27"/>
  <c r="AB15" i="27" s="1"/>
  <c r="M24" i="27"/>
  <c r="N24" i="27" s="1"/>
  <c r="L11" i="27"/>
  <c r="T23" i="27"/>
  <c r="U23" i="27" s="1"/>
  <c r="K11" i="27"/>
  <c r="I25" i="27"/>
  <c r="I43" i="27" s="1"/>
  <c r="AA21" i="27"/>
  <c r="AB21" i="27" s="1"/>
  <c r="T19" i="27"/>
  <c r="U19" i="27" s="1"/>
  <c r="M20" i="27"/>
  <c r="N20" i="27" s="1"/>
  <c r="AA20" i="27"/>
  <c r="AB20" i="27" s="1"/>
  <c r="U43" i="28"/>
  <c r="AC25" i="27"/>
  <c r="X25" i="27"/>
  <c r="X43" i="27" s="1"/>
  <c r="M23" i="27"/>
  <c r="N23" i="27" s="1"/>
  <c r="T16" i="27"/>
  <c r="U16" i="27" s="1"/>
  <c r="M17" i="27"/>
  <c r="N17" i="27" s="1"/>
  <c r="Y25" i="27"/>
  <c r="AA19" i="27"/>
  <c r="AB19" i="27" s="1"/>
  <c r="T20" i="27"/>
  <c r="U20" i="27" s="1"/>
  <c r="W11" i="27"/>
  <c r="M8" i="27"/>
  <c r="N8" i="27" s="1"/>
  <c r="M9" i="27"/>
  <c r="N9" i="27" s="1"/>
  <c r="K25" i="27"/>
  <c r="AA16" i="27"/>
  <c r="AB16" i="27" s="1"/>
  <c r="T18" i="27"/>
  <c r="U18" i="27" s="1"/>
  <c r="M21" i="27"/>
  <c r="N21" i="27" s="1"/>
  <c r="AA23" i="27"/>
  <c r="AB23" i="27" s="1"/>
  <c r="AC11" i="27"/>
  <c r="M16" i="27"/>
  <c r="N16" i="27" s="1"/>
  <c r="AD25" i="27"/>
  <c r="AD43" i="27" s="1"/>
  <c r="S25" i="27"/>
  <c r="S43" i="27" s="1"/>
  <c r="AA43" i="28"/>
  <c r="AB43" i="28" s="1"/>
  <c r="AB11" i="28"/>
  <c r="AB31" i="27"/>
  <c r="AA11" i="27"/>
  <c r="M14" i="27"/>
  <c r="G37" i="27"/>
  <c r="AB6" i="27"/>
  <c r="T11" i="27"/>
  <c r="P25" i="27"/>
  <c r="P43" i="27" s="1"/>
  <c r="W25" i="27"/>
  <c r="AA14" i="27"/>
  <c r="V25" i="27"/>
  <c r="V43" i="27" s="1"/>
  <c r="AA17" i="27"/>
  <c r="AB17" i="27" s="1"/>
  <c r="Z25" i="27"/>
  <c r="Z43" i="27" s="1"/>
  <c r="M18" i="27"/>
  <c r="N18" i="27" s="1"/>
  <c r="AA18" i="27"/>
  <c r="AB18" i="27" s="1"/>
  <c r="M19" i="27"/>
  <c r="N19" i="27" s="1"/>
  <c r="M37" i="27"/>
  <c r="N28" i="27"/>
  <c r="AB35" i="27"/>
  <c r="T37" i="27"/>
  <c r="Y42" i="27"/>
  <c r="AA40" i="27"/>
  <c r="M6" i="27"/>
  <c r="J11" i="27"/>
  <c r="T14" i="27"/>
  <c r="J25" i="27"/>
  <c r="AA24" i="27"/>
  <c r="AB24" i="27" s="1"/>
  <c r="AA37" i="27"/>
  <c r="AB37" i="27" s="1"/>
  <c r="AB28" i="27"/>
  <c r="N31" i="27"/>
  <c r="U40" i="27"/>
  <c r="N40" i="27"/>
  <c r="AB41" i="27"/>
  <c r="U28" i="27"/>
  <c r="N30" i="27"/>
  <c r="N34" i="27"/>
  <c r="H11" i="3"/>
  <c r="AC43" i="27" l="1"/>
  <c r="U37" i="27"/>
  <c r="E43" i="27"/>
  <c r="G43" i="27"/>
  <c r="N37" i="27"/>
  <c r="K43" i="27"/>
  <c r="W43" i="27"/>
  <c r="L43" i="27"/>
  <c r="Y43" i="27"/>
  <c r="AB40" i="27"/>
  <c r="AA42" i="27"/>
  <c r="AB42" i="27" s="1"/>
  <c r="N14" i="27"/>
  <c r="M25" i="27"/>
  <c r="T25" i="27"/>
  <c r="U14" i="27"/>
  <c r="J43" i="27"/>
  <c r="AA25" i="27"/>
  <c r="AB14" i="27"/>
  <c r="M11" i="27"/>
  <c r="N6" i="27"/>
  <c r="U11" i="27"/>
  <c r="AB11" i="27"/>
  <c r="AA43" i="27" l="1"/>
  <c r="AB43" i="27" s="1"/>
  <c r="U25" i="27"/>
  <c r="AB25" i="27"/>
  <c r="N25" i="27"/>
  <c r="N11" i="27"/>
  <c r="M43" i="27"/>
  <c r="N43" i="27" s="1"/>
  <c r="T43" i="27"/>
  <c r="U43" i="27" s="1"/>
  <c r="C42" i="25" l="1"/>
  <c r="H42" i="25"/>
  <c r="L42" i="25"/>
  <c r="R42" i="25"/>
  <c r="AD42" i="25"/>
  <c r="K42" i="25"/>
  <c r="Q11" i="25"/>
  <c r="AC11" i="25"/>
  <c r="AA20" i="25"/>
  <c r="AA21" i="25"/>
  <c r="G28" i="25"/>
  <c r="W37" i="25"/>
  <c r="G29" i="25"/>
  <c r="H37" i="25"/>
  <c r="X37" i="25"/>
  <c r="E37" i="25"/>
  <c r="T31" i="25"/>
  <c r="G32" i="25"/>
  <c r="T35" i="25"/>
  <c r="G36" i="25"/>
  <c r="AA36" i="25"/>
  <c r="S42" i="25"/>
  <c r="E11" i="25"/>
  <c r="E42" i="25"/>
  <c r="J42" i="25"/>
  <c r="V42" i="25"/>
  <c r="Z42" i="25"/>
  <c r="F42" i="25"/>
  <c r="X11" i="25"/>
  <c r="AA8" i="25"/>
  <c r="AA9" i="25"/>
  <c r="G15" i="25"/>
  <c r="L25" i="25"/>
  <c r="M16" i="25"/>
  <c r="P25" i="25"/>
  <c r="G18" i="25"/>
  <c r="D11" i="25"/>
  <c r="I11" i="25"/>
  <c r="T6" i="25"/>
  <c r="M14" i="25"/>
  <c r="T15" i="25"/>
  <c r="G16" i="25"/>
  <c r="N16" i="25" s="1"/>
  <c r="AA16" i="25"/>
  <c r="G17" i="25"/>
  <c r="M17" i="25"/>
  <c r="X25" i="25"/>
  <c r="AE42" i="25"/>
  <c r="G7" i="25"/>
  <c r="M9" i="25"/>
  <c r="AA10" i="25"/>
  <c r="AA18" i="25"/>
  <c r="AA19" i="25"/>
  <c r="D25" i="25"/>
  <c r="M21" i="25"/>
  <c r="AA22" i="25"/>
  <c r="M28" i="25"/>
  <c r="P37" i="25"/>
  <c r="M31" i="25"/>
  <c r="T32" i="25"/>
  <c r="T33" i="25"/>
  <c r="AA33" i="25"/>
  <c r="G34" i="25"/>
  <c r="M35" i="25"/>
  <c r="L37" i="25"/>
  <c r="G41" i="25"/>
  <c r="P11" i="25"/>
  <c r="Y11" i="25"/>
  <c r="AA7" i="25"/>
  <c r="G8" i="25"/>
  <c r="M10" i="25"/>
  <c r="R25" i="25"/>
  <c r="I25" i="25"/>
  <c r="Y25" i="25"/>
  <c r="AC25" i="25"/>
  <c r="M19" i="25"/>
  <c r="T20" i="25"/>
  <c r="T21" i="25"/>
  <c r="G22" i="25"/>
  <c r="G23" i="25"/>
  <c r="M23" i="25"/>
  <c r="M24" i="25"/>
  <c r="Q37" i="25"/>
  <c r="AC37" i="25"/>
  <c r="G30" i="25"/>
  <c r="AA32" i="25"/>
  <c r="B42" i="25"/>
  <c r="Q42" i="25"/>
  <c r="W42" i="25"/>
  <c r="M41" i="25"/>
  <c r="L11" i="25"/>
  <c r="M7" i="25"/>
  <c r="M8" i="25"/>
  <c r="T9" i="25"/>
  <c r="G10" i="25"/>
  <c r="Q25" i="25"/>
  <c r="E25" i="25"/>
  <c r="T19" i="25"/>
  <c r="G20" i="25"/>
  <c r="M22" i="25"/>
  <c r="T23" i="25"/>
  <c r="G24" i="25"/>
  <c r="N24" i="25" s="1"/>
  <c r="AA24" i="25"/>
  <c r="I37" i="25"/>
  <c r="Y37" i="25"/>
  <c r="AA30" i="25"/>
  <c r="D37" i="25"/>
  <c r="M33" i="25"/>
  <c r="AA34" i="25"/>
  <c r="M36" i="25"/>
  <c r="D42" i="25"/>
  <c r="I42" i="25"/>
  <c r="T41" i="25"/>
  <c r="H25" i="25"/>
  <c r="M15" i="25"/>
  <c r="AA6" i="25"/>
  <c r="T7" i="25"/>
  <c r="H11" i="25"/>
  <c r="M6" i="25"/>
  <c r="T17" i="25"/>
  <c r="AA28" i="25"/>
  <c r="T29" i="25"/>
  <c r="AA40" i="25"/>
  <c r="T10" i="25"/>
  <c r="B25" i="25"/>
  <c r="J25" i="25"/>
  <c r="T14" i="25"/>
  <c r="O25" i="25"/>
  <c r="S25" i="25"/>
  <c r="R37" i="25"/>
  <c r="M30" i="25"/>
  <c r="G31" i="25"/>
  <c r="T34" i="25"/>
  <c r="X42" i="25"/>
  <c r="B11" i="25"/>
  <c r="J11" i="25"/>
  <c r="R11" i="25"/>
  <c r="AD11" i="25"/>
  <c r="C25" i="25"/>
  <c r="K25" i="25"/>
  <c r="V25" i="25"/>
  <c r="Z25" i="25"/>
  <c r="AA15" i="25"/>
  <c r="T16" i="25"/>
  <c r="M18" i="25"/>
  <c r="C11" i="25"/>
  <c r="G6" i="25"/>
  <c r="K11" i="25"/>
  <c r="O11" i="25"/>
  <c r="S11" i="25"/>
  <c r="W11" i="25"/>
  <c r="AE11" i="25"/>
  <c r="T8" i="25"/>
  <c r="G9" i="25"/>
  <c r="W25" i="25"/>
  <c r="AA14" i="25"/>
  <c r="AA17" i="25"/>
  <c r="T18" i="25"/>
  <c r="M20" i="25"/>
  <c r="G21" i="25"/>
  <c r="C37" i="25"/>
  <c r="K37" i="25"/>
  <c r="V37" i="25"/>
  <c r="Z37" i="25"/>
  <c r="AE37" i="25"/>
  <c r="T30" i="25"/>
  <c r="AA31" i="25"/>
  <c r="M34" i="25"/>
  <c r="G35" i="25"/>
  <c r="G40" i="25"/>
  <c r="P42" i="25"/>
  <c r="F25" i="25"/>
  <c r="AD25" i="25"/>
  <c r="T22" i="25"/>
  <c r="AA35" i="25"/>
  <c r="AC42" i="25"/>
  <c r="F11" i="25"/>
  <c r="V11" i="25"/>
  <c r="Z11" i="25"/>
  <c r="G14" i="25"/>
  <c r="AE25" i="25"/>
  <c r="G19" i="25"/>
  <c r="AA23" i="25"/>
  <c r="T24" i="25"/>
  <c r="B37" i="25"/>
  <c r="F37" i="25"/>
  <c r="J37" i="25"/>
  <c r="T28" i="25"/>
  <c r="O37" i="25"/>
  <c r="S37" i="25"/>
  <c r="AD37" i="25"/>
  <c r="M29" i="25"/>
  <c r="AA29" i="25"/>
  <c r="M32" i="25"/>
  <c r="G33" i="25"/>
  <c r="T36" i="25"/>
  <c r="T40" i="25"/>
  <c r="Y42" i="25"/>
  <c r="AA41" i="25"/>
  <c r="O42" i="25"/>
  <c r="M40" i="25"/>
  <c r="AB7" i="25" l="1"/>
  <c r="N32" i="25"/>
  <c r="U22" i="25"/>
  <c r="AB10" i="25"/>
  <c r="Q43" i="25"/>
  <c r="U29" i="25"/>
  <c r="N28" i="25"/>
  <c r="AB29" i="25"/>
  <c r="AB20" i="25"/>
  <c r="U18" i="25"/>
  <c r="N15" i="25"/>
  <c r="U35" i="25"/>
  <c r="AB17" i="25"/>
  <c r="N18" i="25"/>
  <c r="N31" i="25"/>
  <c r="AB8" i="25"/>
  <c r="U36" i="25"/>
  <c r="U17" i="25"/>
  <c r="N36" i="25"/>
  <c r="AB30" i="25"/>
  <c r="AB33" i="25"/>
  <c r="U15" i="25"/>
  <c r="N34" i="25"/>
  <c r="AB21" i="25"/>
  <c r="U31" i="25"/>
  <c r="U10" i="25"/>
  <c r="AB34" i="25"/>
  <c r="AB36" i="25"/>
  <c r="U34" i="25"/>
  <c r="AB32" i="25"/>
  <c r="N29" i="25"/>
  <c r="AC43" i="25"/>
  <c r="N19" i="25"/>
  <c r="U32" i="25"/>
  <c r="AB16" i="25"/>
  <c r="U8" i="25"/>
  <c r="U23" i="25"/>
  <c r="N8" i="25"/>
  <c r="N23" i="25"/>
  <c r="U20" i="25"/>
  <c r="AB23" i="25"/>
  <c r="U6" i="25"/>
  <c r="I43" i="25"/>
  <c r="AB41" i="25"/>
  <c r="Y43" i="25"/>
  <c r="AB19" i="25"/>
  <c r="P43" i="25"/>
  <c r="N20" i="25"/>
  <c r="AB15" i="25"/>
  <c r="N30" i="25"/>
  <c r="U7" i="25"/>
  <c r="N33" i="25"/>
  <c r="N22" i="25"/>
  <c r="N7" i="25"/>
  <c r="AB22" i="25"/>
  <c r="AB18" i="25"/>
  <c r="G37" i="25"/>
  <c r="AB35" i="25"/>
  <c r="G42" i="25"/>
  <c r="N9" i="25"/>
  <c r="L43" i="25"/>
  <c r="N10" i="25"/>
  <c r="AB24" i="25"/>
  <c r="U16" i="25"/>
  <c r="U33" i="25"/>
  <c r="AA11" i="25"/>
  <c r="N41" i="25"/>
  <c r="U24" i="25"/>
  <c r="G25" i="25"/>
  <c r="J2" i="20" s="1"/>
  <c r="U30" i="25"/>
  <c r="S43" i="25"/>
  <c r="X43" i="25"/>
  <c r="M25" i="25"/>
  <c r="U41" i="25"/>
  <c r="N17" i="25"/>
  <c r="U28" i="25"/>
  <c r="T37" i="25"/>
  <c r="U37" i="25" s="1"/>
  <c r="N6" i="25"/>
  <c r="M11" i="25"/>
  <c r="AB6" i="25"/>
  <c r="O43" i="25"/>
  <c r="AB28" i="25"/>
  <c r="AA37" i="25"/>
  <c r="T11" i="25"/>
  <c r="H43" i="25"/>
  <c r="AB9" i="25"/>
  <c r="N14" i="25"/>
  <c r="V43" i="25"/>
  <c r="AE43" i="25"/>
  <c r="K43" i="25"/>
  <c r="J43" i="25"/>
  <c r="N21" i="25"/>
  <c r="U19" i="25"/>
  <c r="M42" i="25"/>
  <c r="N40" i="25"/>
  <c r="T42" i="25"/>
  <c r="U40" i="25"/>
  <c r="AB31" i="25"/>
  <c r="W43" i="25"/>
  <c r="G11" i="25"/>
  <c r="U14" i="25"/>
  <c r="T25" i="25"/>
  <c r="AB40" i="25"/>
  <c r="AA42" i="25"/>
  <c r="N35" i="25"/>
  <c r="U9" i="25"/>
  <c r="U21" i="25"/>
  <c r="AD43" i="25"/>
  <c r="Z43" i="25"/>
  <c r="R43" i="25"/>
  <c r="M37" i="25"/>
  <c r="AB14" i="25"/>
  <c r="AA25" i="25"/>
  <c r="N25" i="25" l="1"/>
  <c r="AB42" i="25"/>
  <c r="U42" i="25"/>
  <c r="N37" i="25"/>
  <c r="AB37" i="25"/>
  <c r="N42" i="25"/>
  <c r="J2" i="17"/>
  <c r="AB25" i="25"/>
  <c r="U25" i="25"/>
  <c r="T43" i="25"/>
  <c r="U11" i="25"/>
  <c r="AA43" i="25"/>
  <c r="AB11" i="25"/>
  <c r="N11" i="25"/>
  <c r="M43" i="25"/>
  <c r="N43" i="25" l="1"/>
  <c r="U43" i="25"/>
  <c r="AB43" i="25"/>
  <c r="Y37" i="3"/>
  <c r="Y11" i="3"/>
  <c r="R42" i="3"/>
  <c r="R37" i="3"/>
  <c r="R25" i="3"/>
  <c r="R11" i="3"/>
  <c r="K37" i="3"/>
  <c r="E42" i="3"/>
  <c r="E37" i="3"/>
  <c r="E25" i="3"/>
  <c r="E11" i="3"/>
  <c r="AE42" i="3"/>
  <c r="AE37" i="3"/>
  <c r="AE25" i="3"/>
  <c r="AE11" i="3"/>
  <c r="AD37" i="3"/>
  <c r="AE43" i="3" l="1"/>
  <c r="R43" i="3"/>
  <c r="AD42" i="3"/>
  <c r="AD11" i="3"/>
  <c r="AC37" i="3"/>
  <c r="Z37" i="3" l="1"/>
  <c r="Z11" i="3"/>
  <c r="X42" i="3"/>
  <c r="X37" i="3"/>
  <c r="X11" i="3"/>
  <c r="W42" i="3"/>
  <c r="W37" i="3"/>
  <c r="V37" i="3"/>
  <c r="V11" i="3"/>
  <c r="S37" i="3"/>
  <c r="S11" i="3"/>
  <c r="Q42" i="3"/>
  <c r="Q37" i="3"/>
  <c r="Q25" i="3"/>
  <c r="Q11" i="3"/>
  <c r="P42" i="3"/>
  <c r="P37" i="3"/>
  <c r="P11" i="3"/>
  <c r="O42" i="3"/>
  <c r="O37" i="3"/>
  <c r="O25" i="3"/>
  <c r="O11" i="3"/>
  <c r="L42" i="3"/>
  <c r="L37" i="3"/>
  <c r="J37" i="3"/>
  <c r="I42" i="3"/>
  <c r="I37" i="3"/>
  <c r="I11" i="3"/>
  <c r="H37" i="3"/>
  <c r="H25" i="3"/>
  <c r="F42" i="3"/>
  <c r="F37" i="3"/>
  <c r="F25" i="3"/>
  <c r="F11" i="3"/>
  <c r="D42" i="3"/>
  <c r="D37" i="3"/>
  <c r="D25" i="3"/>
  <c r="D11" i="3"/>
  <c r="C42" i="3"/>
  <c r="C37" i="3"/>
  <c r="C25" i="3"/>
  <c r="C11" i="3"/>
  <c r="H43" i="3" l="1"/>
  <c r="Q43" i="3"/>
  <c r="O43" i="3"/>
  <c r="D43" i="3"/>
  <c r="C43" i="3"/>
  <c r="F43" i="3"/>
  <c r="B42" i="3"/>
  <c r="B37" i="3" l="1"/>
  <c r="B25" i="3"/>
  <c r="B11" i="3"/>
  <c r="B43" i="3" l="1"/>
  <c r="E43" i="3" s="1"/>
  <c r="I2" i="20" l="1"/>
  <c r="I2" i="17"/>
  <c r="S42" i="13"/>
  <c r="R42" i="13"/>
  <c r="J42" i="13"/>
  <c r="B42" i="13"/>
  <c r="Z42" i="13"/>
  <c r="Y42" i="13"/>
  <c r="W42" i="13"/>
  <c r="Q42" i="13"/>
  <c r="P42" i="13"/>
  <c r="L42" i="13"/>
  <c r="K42" i="13"/>
  <c r="H42" i="13"/>
  <c r="F42" i="13"/>
  <c r="D42" i="13"/>
  <c r="D43" i="13" s="1"/>
  <c r="C42" i="13"/>
  <c r="Y37" i="13"/>
  <c r="Q37" i="13"/>
  <c r="L37" i="13"/>
  <c r="I37" i="13"/>
  <c r="H37" i="13"/>
  <c r="D37" i="13"/>
  <c r="X37" i="13"/>
  <c r="E37" i="13"/>
  <c r="Z37" i="13"/>
  <c r="V37" i="13"/>
  <c r="L25" i="13"/>
  <c r="Y25" i="13"/>
  <c r="Q25" i="13"/>
  <c r="I25" i="13"/>
  <c r="D25" i="13"/>
  <c r="X25" i="13"/>
  <c r="P25" i="13"/>
  <c r="L11" i="13"/>
  <c r="D11" i="13"/>
  <c r="X11" i="13"/>
  <c r="Z11" i="13"/>
  <c r="Y11" i="13"/>
  <c r="E11" i="13"/>
  <c r="AD14" i="3"/>
  <c r="AD16" i="3"/>
  <c r="AD17" i="3"/>
  <c r="AD18" i="3"/>
  <c r="AD19" i="3"/>
  <c r="AD20" i="3"/>
  <c r="AD23" i="3"/>
  <c r="AD24" i="3"/>
  <c r="AC42" i="3"/>
  <c r="AC24" i="3"/>
  <c r="AC21" i="3"/>
  <c r="AC20" i="3"/>
  <c r="AC19" i="3"/>
  <c r="AC18" i="3"/>
  <c r="AC17" i="3"/>
  <c r="AC16" i="3"/>
  <c r="AC14" i="3"/>
  <c r="AC8" i="3"/>
  <c r="AC9" i="3"/>
  <c r="AC6" i="3"/>
  <c r="AC11" i="3" s="1"/>
  <c r="AA41" i="3"/>
  <c r="AA30" i="3"/>
  <c r="AA31" i="3"/>
  <c r="AA34" i="3"/>
  <c r="AA35" i="3"/>
  <c r="Z40" i="3"/>
  <c r="Z42" i="3" s="1"/>
  <c r="Z24" i="3"/>
  <c r="Z23" i="3"/>
  <c r="Z20" i="3"/>
  <c r="Z19" i="3"/>
  <c r="Z18" i="3"/>
  <c r="Z17" i="3"/>
  <c r="Z16" i="3"/>
  <c r="Z15" i="3"/>
  <c r="Z14" i="3"/>
  <c r="Y40" i="3"/>
  <c r="AA36" i="3"/>
  <c r="AA33" i="3"/>
  <c r="AA32" i="3"/>
  <c r="AA29" i="3"/>
  <c r="AA28" i="3"/>
  <c r="Y24" i="3"/>
  <c r="Y23" i="3"/>
  <c r="Y21" i="3"/>
  <c r="Y20" i="3"/>
  <c r="Y19" i="3"/>
  <c r="Y18" i="3"/>
  <c r="Y17" i="3"/>
  <c r="Y14" i="3"/>
  <c r="X20" i="3"/>
  <c r="X19" i="3"/>
  <c r="X18" i="3"/>
  <c r="X17" i="3"/>
  <c r="X14" i="3"/>
  <c r="W23" i="3"/>
  <c r="AA22" i="3"/>
  <c r="W21" i="3"/>
  <c r="W20" i="3"/>
  <c r="W19" i="3"/>
  <c r="W18" i="3"/>
  <c r="W17" i="3"/>
  <c r="W16" i="3"/>
  <c r="W15" i="3"/>
  <c r="W14" i="3"/>
  <c r="W7" i="3"/>
  <c r="AA7" i="3" s="1"/>
  <c r="W8" i="3"/>
  <c r="AA8" i="3" s="1"/>
  <c r="W9" i="3"/>
  <c r="AA9" i="3" s="1"/>
  <c r="W10" i="3"/>
  <c r="AA10" i="3" s="1"/>
  <c r="W6" i="3"/>
  <c r="AA6" i="3" s="1"/>
  <c r="V24" i="3"/>
  <c r="V23" i="3"/>
  <c r="V21" i="3"/>
  <c r="V20" i="3"/>
  <c r="V19" i="3"/>
  <c r="V17" i="3"/>
  <c r="V16" i="3"/>
  <c r="V15" i="3"/>
  <c r="V14" i="3"/>
  <c r="T41" i="3"/>
  <c r="T40" i="3"/>
  <c r="T29" i="3"/>
  <c r="T33" i="3"/>
  <c r="T15" i="3"/>
  <c r="T22" i="3"/>
  <c r="T7" i="3"/>
  <c r="T8" i="3"/>
  <c r="T10" i="3"/>
  <c r="T6" i="3"/>
  <c r="S23" i="3"/>
  <c r="S21" i="3"/>
  <c r="T21" i="3" s="1"/>
  <c r="S20" i="3"/>
  <c r="S19" i="3"/>
  <c r="S18" i="3"/>
  <c r="S17" i="3"/>
  <c r="S16" i="3"/>
  <c r="T36" i="3"/>
  <c r="T35" i="3"/>
  <c r="T34" i="3"/>
  <c r="T32" i="3"/>
  <c r="T31" i="3"/>
  <c r="T30" i="3"/>
  <c r="T28" i="3"/>
  <c r="T24" i="3"/>
  <c r="P23" i="3"/>
  <c r="P20" i="3"/>
  <c r="P19" i="3"/>
  <c r="P18" i="3"/>
  <c r="P17" i="3"/>
  <c r="P16" i="3"/>
  <c r="P14" i="3"/>
  <c r="M29" i="3"/>
  <c r="M30" i="3"/>
  <c r="M33" i="3"/>
  <c r="M34" i="3"/>
  <c r="M28" i="3"/>
  <c r="M7" i="3"/>
  <c r="M10" i="3"/>
  <c r="L24" i="3"/>
  <c r="L23" i="3"/>
  <c r="L21" i="3"/>
  <c r="L20" i="3"/>
  <c r="L19" i="3"/>
  <c r="L18" i="3"/>
  <c r="L17" i="3"/>
  <c r="L16" i="3"/>
  <c r="L14" i="3"/>
  <c r="L8" i="3"/>
  <c r="L9" i="3"/>
  <c r="L6" i="3"/>
  <c r="M41" i="3"/>
  <c r="M42" i="3" s="1"/>
  <c r="M36" i="3"/>
  <c r="M35" i="3"/>
  <c r="M32" i="3"/>
  <c r="M31" i="3"/>
  <c r="K23" i="3"/>
  <c r="M22" i="3"/>
  <c r="K18" i="3"/>
  <c r="K16" i="3"/>
  <c r="K14" i="3"/>
  <c r="K8" i="3"/>
  <c r="K9" i="3"/>
  <c r="M9" i="3" s="1"/>
  <c r="K6" i="3"/>
  <c r="J23" i="3"/>
  <c r="J20" i="3"/>
  <c r="J18" i="3"/>
  <c r="J16" i="3"/>
  <c r="J14" i="3"/>
  <c r="J6" i="3"/>
  <c r="I24" i="3"/>
  <c r="I23" i="3"/>
  <c r="I21" i="3"/>
  <c r="I20" i="3"/>
  <c r="I19" i="3"/>
  <c r="I18" i="3"/>
  <c r="I17" i="3"/>
  <c r="I16" i="3"/>
  <c r="I15" i="3"/>
  <c r="I14" i="3"/>
  <c r="G41" i="3"/>
  <c r="G30" i="3"/>
  <c r="G34" i="3"/>
  <c r="G35" i="3"/>
  <c r="G22" i="3"/>
  <c r="G17" i="3"/>
  <c r="G23" i="3"/>
  <c r="G8" i="3"/>
  <c r="G9" i="3"/>
  <c r="G40" i="3"/>
  <c r="G36" i="3"/>
  <c r="G33" i="3"/>
  <c r="G24" i="3"/>
  <c r="G21" i="3"/>
  <c r="G20" i="3"/>
  <c r="G19" i="3"/>
  <c r="G32" i="3"/>
  <c r="G29" i="3"/>
  <c r="G28" i="3"/>
  <c r="G18" i="3"/>
  <c r="G16" i="3"/>
  <c r="G15" i="3"/>
  <c r="G14" i="3"/>
  <c r="G7" i="3"/>
  <c r="G10" i="3"/>
  <c r="G6" i="3"/>
  <c r="H42" i="8"/>
  <c r="G42" i="8"/>
  <c r="F42" i="8"/>
  <c r="E42" i="8"/>
  <c r="D42" i="8"/>
  <c r="C42" i="8"/>
  <c r="B42" i="8"/>
  <c r="H37" i="8"/>
  <c r="G37" i="8"/>
  <c r="F37" i="8"/>
  <c r="E37" i="8"/>
  <c r="D37" i="8"/>
  <c r="C37" i="8"/>
  <c r="B37" i="8"/>
  <c r="H25" i="8"/>
  <c r="G25" i="8"/>
  <c r="F25" i="8"/>
  <c r="E25" i="8"/>
  <c r="D25" i="8"/>
  <c r="C25" i="8"/>
  <c r="B25" i="8"/>
  <c r="H11" i="8"/>
  <c r="G11" i="8"/>
  <c r="F11" i="8"/>
  <c r="E11" i="8"/>
  <c r="D11" i="8"/>
  <c r="C11" i="8"/>
  <c r="B11" i="8"/>
  <c r="H42" i="6"/>
  <c r="G42" i="6"/>
  <c r="E42" i="6"/>
  <c r="C42" i="6"/>
  <c r="F41" i="6"/>
  <c r="F42" i="6" s="1"/>
  <c r="D41" i="6"/>
  <c r="D42" i="6" s="1"/>
  <c r="B41" i="6"/>
  <c r="B40" i="6"/>
  <c r="B42" i="6" s="1"/>
  <c r="G37" i="6"/>
  <c r="H36" i="6"/>
  <c r="F36" i="6"/>
  <c r="E36" i="6"/>
  <c r="E37" i="6" s="1"/>
  <c r="D36" i="6"/>
  <c r="C36" i="6"/>
  <c r="B36" i="6"/>
  <c r="B35" i="6"/>
  <c r="H34" i="6"/>
  <c r="F34" i="6"/>
  <c r="B34" i="6"/>
  <c r="H33" i="6"/>
  <c r="F33" i="6"/>
  <c r="B33" i="6"/>
  <c r="F32" i="6"/>
  <c r="C32" i="6"/>
  <c r="B32" i="6"/>
  <c r="H31" i="6"/>
  <c r="H37" i="6" s="1"/>
  <c r="F31" i="6"/>
  <c r="B31" i="6"/>
  <c r="D30" i="6"/>
  <c r="B30" i="6"/>
  <c r="C29" i="6"/>
  <c r="C37" i="6" s="1"/>
  <c r="B29" i="6"/>
  <c r="D28" i="6"/>
  <c r="D37" i="6" s="1"/>
  <c r="B28" i="6"/>
  <c r="H25" i="6"/>
  <c r="G25" i="6"/>
  <c r="F25" i="6"/>
  <c r="E25" i="6"/>
  <c r="C25" i="6"/>
  <c r="B24" i="6"/>
  <c r="D22" i="6"/>
  <c r="D25" i="6"/>
  <c r="B22" i="6"/>
  <c r="B21" i="6"/>
  <c r="B20" i="6"/>
  <c r="B19" i="6"/>
  <c r="B17" i="6"/>
  <c r="B16" i="6"/>
  <c r="B15" i="6"/>
  <c r="B14" i="6"/>
  <c r="H11" i="6"/>
  <c r="G11" i="6"/>
  <c r="F11" i="6"/>
  <c r="E11" i="6"/>
  <c r="C11" i="6"/>
  <c r="D10" i="6"/>
  <c r="D11" i="6" s="1"/>
  <c r="B10" i="6"/>
  <c r="B9" i="6"/>
  <c r="B8" i="6"/>
  <c r="B7" i="6"/>
  <c r="B6" i="6"/>
  <c r="B11" i="6" s="1"/>
  <c r="D25" i="5"/>
  <c r="H42" i="4"/>
  <c r="G42" i="4"/>
  <c r="F42" i="4"/>
  <c r="E42" i="4"/>
  <c r="D42" i="4"/>
  <c r="C42" i="4"/>
  <c r="B42" i="4"/>
  <c r="H37" i="4"/>
  <c r="G37" i="4"/>
  <c r="F37" i="4"/>
  <c r="E37" i="4"/>
  <c r="D37" i="4"/>
  <c r="C37" i="4"/>
  <c r="B37" i="4"/>
  <c r="H25" i="4"/>
  <c r="G25" i="4"/>
  <c r="F25" i="4"/>
  <c r="E25" i="4"/>
  <c r="D25" i="4"/>
  <c r="C25" i="4"/>
  <c r="B25" i="4"/>
  <c r="H11" i="4"/>
  <c r="G11" i="4"/>
  <c r="F11" i="4"/>
  <c r="E11" i="4"/>
  <c r="D11" i="4"/>
  <c r="C11" i="4"/>
  <c r="B11" i="4"/>
  <c r="L43" i="13" l="1"/>
  <c r="Y43" i="13"/>
  <c r="T19" i="3"/>
  <c r="K25" i="3"/>
  <c r="V25" i="3"/>
  <c r="V43" i="3" s="1"/>
  <c r="M8" i="3"/>
  <c r="AA18" i="3"/>
  <c r="T23" i="3"/>
  <c r="M21" i="3"/>
  <c r="M20" i="3"/>
  <c r="M6" i="3"/>
  <c r="B25" i="6"/>
  <c r="M19" i="3"/>
  <c r="N19" i="3" s="1"/>
  <c r="AA19" i="3"/>
  <c r="AB19" i="3" s="1"/>
  <c r="M17" i="3"/>
  <c r="N17" i="3" s="1"/>
  <c r="AA20" i="3"/>
  <c r="AB20" i="3" s="1"/>
  <c r="T18" i="3"/>
  <c r="U18" i="3" s="1"/>
  <c r="AA21" i="3"/>
  <c r="AB21" i="3" s="1"/>
  <c r="B37" i="6"/>
  <c r="M24" i="3"/>
  <c r="N24" i="3" s="1"/>
  <c r="F37" i="6"/>
  <c r="L11" i="3"/>
  <c r="AA16" i="3"/>
  <c r="AB16" i="3" s="1"/>
  <c r="M23" i="3"/>
  <c r="N23" i="3" s="1"/>
  <c r="AA14" i="3"/>
  <c r="AB14" i="3" s="1"/>
  <c r="AD25" i="3"/>
  <c r="AD43" i="3" s="1"/>
  <c r="M14" i="3"/>
  <c r="N14" i="3" s="1"/>
  <c r="M18" i="3"/>
  <c r="P25" i="3"/>
  <c r="P43" i="3" s="1"/>
  <c r="S25" i="3"/>
  <c r="S43" i="3" s="1"/>
  <c r="W11" i="3"/>
  <c r="AA23" i="3"/>
  <c r="AB23" i="3" s="1"/>
  <c r="AB18" i="3"/>
  <c r="J25" i="3"/>
  <c r="T16" i="3"/>
  <c r="T20" i="3"/>
  <c r="U20" i="3" s="1"/>
  <c r="Y25" i="3"/>
  <c r="M16" i="3"/>
  <c r="N16" i="3" s="1"/>
  <c r="L25" i="3"/>
  <c r="L43" i="3" s="1"/>
  <c r="AA24" i="3"/>
  <c r="AB24" i="3" s="1"/>
  <c r="W25" i="3"/>
  <c r="Z25" i="3"/>
  <c r="Z43" i="3" s="1"/>
  <c r="AC25" i="3"/>
  <c r="AC43" i="3" s="1"/>
  <c r="T17" i="3"/>
  <c r="U17" i="3" s="1"/>
  <c r="AA17" i="3"/>
  <c r="AB17" i="3" s="1"/>
  <c r="AA40" i="3"/>
  <c r="AA42" i="3" s="1"/>
  <c r="Y42" i="3"/>
  <c r="U21" i="3"/>
  <c r="U6" i="3"/>
  <c r="M11" i="3"/>
  <c r="U40" i="3"/>
  <c r="N15" i="3"/>
  <c r="U28" i="3"/>
  <c r="N35" i="3"/>
  <c r="J11" i="3"/>
  <c r="T14" i="3"/>
  <c r="U14" i="3" s="1"/>
  <c r="I25" i="3"/>
  <c r="I43" i="3" s="1"/>
  <c r="T9" i="3"/>
  <c r="U9" i="3" s="1"/>
  <c r="T42" i="3"/>
  <c r="G31" i="3"/>
  <c r="K11" i="3"/>
  <c r="K43" i="3" s="1"/>
  <c r="AA15" i="3"/>
  <c r="AB15" i="3" s="1"/>
  <c r="X25" i="3"/>
  <c r="X43" i="3" s="1"/>
  <c r="AB41" i="3"/>
  <c r="AB36" i="3"/>
  <c r="AA37" i="3"/>
  <c r="AA11" i="3"/>
  <c r="AB10" i="3"/>
  <c r="U29" i="3"/>
  <c r="T37" i="3"/>
  <c r="U32" i="3"/>
  <c r="U15" i="3"/>
  <c r="U8" i="3"/>
  <c r="N30" i="3"/>
  <c r="N32" i="3"/>
  <c r="M37" i="3"/>
  <c r="N22" i="3"/>
  <c r="N20" i="3"/>
  <c r="N9" i="3"/>
  <c r="N6" i="3"/>
  <c r="N7" i="3"/>
  <c r="AB30" i="3"/>
  <c r="G42" i="3"/>
  <c r="U30" i="3"/>
  <c r="U24" i="3"/>
  <c r="U23" i="3"/>
  <c r="U7" i="3"/>
  <c r="AB6" i="3"/>
  <c r="AB7" i="3"/>
  <c r="N41" i="3"/>
  <c r="N40" i="3"/>
  <c r="U41" i="3"/>
  <c r="AB32" i="3"/>
  <c r="N28" i="3"/>
  <c r="AB28" i="3"/>
  <c r="N29" i="3"/>
  <c r="U36" i="3"/>
  <c r="U35" i="3"/>
  <c r="AB35" i="3"/>
  <c r="U34" i="3"/>
  <c r="N34" i="3"/>
  <c r="AB29" i="3"/>
  <c r="U33" i="3"/>
  <c r="N36" i="3"/>
  <c r="AB34" i="3"/>
  <c r="N33" i="3"/>
  <c r="AB33" i="3"/>
  <c r="AB22" i="3"/>
  <c r="N21" i="3"/>
  <c r="G25" i="3"/>
  <c r="L2" i="20" s="1"/>
  <c r="U22" i="3"/>
  <c r="U19" i="3"/>
  <c r="N10" i="3"/>
  <c r="AB8" i="3"/>
  <c r="N8" i="3"/>
  <c r="G11" i="3"/>
  <c r="L2" i="17" s="1"/>
  <c r="AB9" i="3"/>
  <c r="U10" i="3"/>
  <c r="V42" i="13"/>
  <c r="Q11" i="13"/>
  <c r="Q43" i="13" s="1"/>
  <c r="V11" i="13"/>
  <c r="E25" i="13"/>
  <c r="P37" i="13"/>
  <c r="I11" i="13"/>
  <c r="H11" i="13"/>
  <c r="W25" i="13"/>
  <c r="C37" i="13"/>
  <c r="K37" i="13"/>
  <c r="W37" i="13"/>
  <c r="R25" i="13"/>
  <c r="H25" i="13"/>
  <c r="B11" i="13"/>
  <c r="F11" i="13"/>
  <c r="J11" i="13"/>
  <c r="R11" i="13"/>
  <c r="W11" i="13"/>
  <c r="P11" i="13"/>
  <c r="B25" i="13"/>
  <c r="F25" i="13"/>
  <c r="J25" i="13"/>
  <c r="O25" i="13"/>
  <c r="S25" i="13"/>
  <c r="R37" i="13"/>
  <c r="E42" i="13"/>
  <c r="I42" i="13"/>
  <c r="I43" i="13" s="1"/>
  <c r="X42" i="13"/>
  <c r="X43" i="13" s="1"/>
  <c r="C11" i="13"/>
  <c r="C43" i="13" s="1"/>
  <c r="K11" i="13"/>
  <c r="K43" i="13" s="1"/>
  <c r="O11" i="13"/>
  <c r="S11" i="13"/>
  <c r="C25" i="13"/>
  <c r="K25" i="13"/>
  <c r="V25" i="13"/>
  <c r="Z25" i="13"/>
  <c r="Z43" i="13" s="1"/>
  <c r="B37" i="13"/>
  <c r="F37" i="13"/>
  <c r="J37" i="13"/>
  <c r="O37" i="13"/>
  <c r="S37" i="13"/>
  <c r="O42" i="13"/>
  <c r="V43" i="13" l="1"/>
  <c r="O43" i="13"/>
  <c r="H43" i="13"/>
  <c r="B43" i="13"/>
  <c r="E43" i="13"/>
  <c r="S43" i="13"/>
  <c r="F43" i="13"/>
  <c r="W43" i="13"/>
  <c r="P43" i="13"/>
  <c r="R43" i="13"/>
  <c r="J43" i="13"/>
  <c r="W43" i="3"/>
  <c r="T25" i="3"/>
  <c r="Y43" i="3"/>
  <c r="U16" i="3"/>
  <c r="T11" i="3"/>
  <c r="U11" i="3" s="1"/>
  <c r="M25" i="3"/>
  <c r="N25" i="3" s="1"/>
  <c r="N18" i="3"/>
  <c r="AA25" i="3"/>
  <c r="AB25" i="3" s="1"/>
  <c r="J43" i="3"/>
  <c r="AB40" i="3"/>
  <c r="G37" i="3"/>
  <c r="U31" i="3"/>
  <c r="N31" i="3"/>
  <c r="AB31" i="3"/>
  <c r="U42" i="3"/>
  <c r="N42" i="3"/>
  <c r="AB42" i="3"/>
  <c r="U25" i="3"/>
  <c r="AB11" i="3"/>
  <c r="T43" i="3" l="1"/>
  <c r="AA43" i="3"/>
  <c r="AB37" i="3"/>
  <c r="B3" i="23"/>
  <c r="G43" i="3"/>
  <c r="U43" i="3" s="1"/>
  <c r="U37" i="3"/>
  <c r="N37" i="3"/>
  <c r="AB43" i="3" l="1"/>
  <c r="M43" i="3"/>
  <c r="N43" i="3" s="1"/>
  <c r="N11" i="3"/>
  <c r="AC43" i="13" l="1"/>
  <c r="AD43" i="13"/>
  <c r="AF43" i="13"/>
  <c r="AG43" i="13"/>
  <c r="AH43" i="13"/>
  <c r="AI43" i="13"/>
  <c r="AL43" i="13"/>
  <c r="AK43" i="13"/>
  <c r="AM43" i="13"/>
  <c r="AJ43" i="13"/>
  <c r="AN43" i="13"/>
  <c r="AO43" i="13"/>
  <c r="AS43" i="13"/>
  <c r="AQ43" i="13"/>
  <c r="AP43" i="13"/>
  <c r="AR43" i="13"/>
  <c r="AT43" i="13"/>
</calcChain>
</file>

<file path=xl/sharedStrings.xml><?xml version="1.0" encoding="utf-8"?>
<sst xmlns="http://schemas.openxmlformats.org/spreadsheetml/2006/main" count="2733" uniqueCount="181">
  <si>
    <t>Anzahl der 
registrierten 
Hunde
(absolut)</t>
  </si>
  <si>
    <t>Pitbull Terrier</t>
  </si>
  <si>
    <t>Am. Staffordshire Terrier</t>
  </si>
  <si>
    <t>Bullterrier</t>
  </si>
  <si>
    <t>Alano</t>
  </si>
  <si>
    <t>American Bulldog</t>
  </si>
  <si>
    <t>Bullmastiff</t>
  </si>
  <si>
    <t>Mastiff</t>
  </si>
  <si>
    <t>Mastino Espanol</t>
  </si>
  <si>
    <t>Mastino Napoletano</t>
  </si>
  <si>
    <t>Fila Brasileiro</t>
  </si>
  <si>
    <t>Dogo Argentino</t>
  </si>
  <si>
    <t>Rottweiler</t>
  </si>
  <si>
    <t>Tosa Inu</t>
  </si>
  <si>
    <t>Staffordshire Bullterrier</t>
  </si>
  <si>
    <t>Berner Sennenhund</t>
  </si>
  <si>
    <t>Dobermann</t>
  </si>
  <si>
    <t>Golden Retriever</t>
  </si>
  <si>
    <t>Münsterländer</t>
  </si>
  <si>
    <t>Schäferhund</t>
  </si>
  <si>
    <t>Schäferhund-Mix</t>
  </si>
  <si>
    <t xml:space="preserve">Summe </t>
  </si>
  <si>
    <t>Summe</t>
  </si>
  <si>
    <t xml:space="preserve">Kreuzungen aus und mit 
diesen Rassen </t>
  </si>
  <si>
    <t xml:space="preserve">Rasse
</t>
  </si>
  <si>
    <t>Dogo Canario</t>
  </si>
  <si>
    <t>Sonstige große Hunde</t>
  </si>
  <si>
    <t>alle anderen kleinen Hunde</t>
  </si>
  <si>
    <t>"Kleine Hunde"</t>
  </si>
  <si>
    <t>Arnsberg</t>
  </si>
  <si>
    <t>Detmold</t>
  </si>
  <si>
    <t>Köln</t>
  </si>
  <si>
    <t xml:space="preserve">Münster </t>
  </si>
  <si>
    <t xml:space="preserve">Köln </t>
  </si>
  <si>
    <t>Deutsch Drahthaar</t>
  </si>
  <si>
    <t>Düsseldorf</t>
  </si>
  <si>
    <t xml:space="preserve">Düsseldorf </t>
  </si>
  <si>
    <t xml:space="preserve">geschätzt
nach Vorjahr, da ohne Angabe  </t>
  </si>
  <si>
    <t>Kleine Hunde 
geschätzt über
 80.000</t>
  </si>
  <si>
    <t>in v.H. der gemeldeten Population</t>
  </si>
  <si>
    <t xml:space="preserve">Miniatur- Bullterrier </t>
  </si>
  <si>
    <r>
      <t xml:space="preserve">Beißvorfälle 
mit Verletzungen 
bei anderem Tier 
</t>
    </r>
    <r>
      <rPr>
        <b/>
        <sz val="8"/>
        <rFont val="Arial"/>
        <family val="2"/>
      </rPr>
      <t xml:space="preserve">im Berichtsjahr </t>
    </r>
  </si>
  <si>
    <t>in v. H. der 
gemeldeten Population</t>
  </si>
  <si>
    <t xml:space="preserve">sonstige
gefährliche
 Vorfälle
 im Berichtsjahr </t>
  </si>
  <si>
    <r>
      <t xml:space="preserve">sonstige
gefährliche
 Vorfälle
</t>
    </r>
    <r>
      <rPr>
        <b/>
        <sz val="8"/>
        <rFont val="Arial"/>
        <family val="2"/>
      </rPr>
      <t xml:space="preserve"> im Berichtsjahr </t>
    </r>
  </si>
  <si>
    <t>Anzahl  der Entscheidungen gem. § 3 Abs.3 
(absolut)</t>
  </si>
  <si>
    <r>
      <t xml:space="preserve">Strafverfahren 
(§ 19)
Anzahl
</t>
    </r>
    <r>
      <rPr>
        <b/>
        <sz val="8"/>
        <rFont val="Arial"/>
        <family val="2"/>
      </rPr>
      <t xml:space="preserve">im Berichtsjahr </t>
    </r>
  </si>
  <si>
    <r>
      <t xml:space="preserve">OWiG-Verfahren 
(§ 20)
 Anzahl
</t>
    </r>
    <r>
      <rPr>
        <b/>
        <sz val="8"/>
        <rFont val="Arial"/>
        <family val="2"/>
      </rPr>
      <t xml:space="preserve">im Berichtsjahr </t>
    </r>
  </si>
  <si>
    <t>Summe aller Hunde</t>
  </si>
  <si>
    <t>§ 3 Absatz 2 LHundG NRW</t>
  </si>
  <si>
    <t>§ 11 Absatz 1 LHundG NRW</t>
  </si>
  <si>
    <t>§ 10 Absatz 1 LHundG NRW</t>
  </si>
  <si>
    <t xml:space="preserve">                                                                                                                                                                                   </t>
  </si>
  <si>
    <t>Berichtsbogen Hunde für das Jahr 2014</t>
  </si>
  <si>
    <t>Münster 2014</t>
  </si>
  <si>
    <r>
      <t xml:space="preserve">Beißvorfälle 
mit Verletzungen 
beim Menschen
</t>
    </r>
    <r>
      <rPr>
        <b/>
        <sz val="8"/>
        <rFont val="Arial"/>
        <family val="2"/>
      </rPr>
      <t xml:space="preserve">im Berichtsjahr </t>
    </r>
  </si>
  <si>
    <r>
      <t xml:space="preserve">Beißvorfälle 
mit Verletzungen 
bei anderem Tier 
</t>
    </r>
    <r>
      <rPr>
        <b/>
        <sz val="8"/>
        <rFont val="Arial"/>
        <family val="2"/>
      </rPr>
      <t>im Berichtsjahr</t>
    </r>
    <r>
      <rPr>
        <b/>
        <sz val="12"/>
        <rFont val="Arial"/>
        <family val="2"/>
      </rPr>
      <t xml:space="preserve"> </t>
    </r>
  </si>
  <si>
    <r>
      <t xml:space="preserve">sonstige
gefährliche
 Vorfälle
 </t>
    </r>
    <r>
      <rPr>
        <b/>
        <sz val="8"/>
        <rFont val="Arial"/>
        <family val="2"/>
      </rPr>
      <t>im Berichtsjahr</t>
    </r>
    <r>
      <rPr>
        <b/>
        <sz val="12"/>
        <rFont val="Arial"/>
        <family val="2"/>
      </rPr>
      <t xml:space="preserve"> </t>
    </r>
  </si>
  <si>
    <r>
      <t xml:space="preserve">Strafverfahren (§ 19)
OWiG-Verfahren (§ 20)
 Anzahl
</t>
    </r>
    <r>
      <rPr>
        <b/>
        <sz val="8"/>
        <rFont val="Arial"/>
        <family val="2"/>
      </rPr>
      <t xml:space="preserve">im Berichtsjahr </t>
    </r>
  </si>
  <si>
    <t>§ 19</t>
  </si>
  <si>
    <t>§ 20</t>
  </si>
  <si>
    <t>§ 3 Abs. 2</t>
  </si>
  <si>
    <t>§ 10 Abs. 1</t>
  </si>
  <si>
    <t>§ 11 Abs. 1</t>
  </si>
  <si>
    <t xml:space="preserve">Miniatur-Bullterrier </t>
  </si>
  <si>
    <t>Gesamtsumme:</t>
  </si>
  <si>
    <t>Berichtsbogen Hunde für das Jahr 2014  - Bezirksregierung Düsseldorf…………………………………….</t>
  </si>
  <si>
    <t>Regierungsbezirk Düsseldorf</t>
  </si>
  <si>
    <t xml:space="preserve">Miniatur Bullterrier </t>
  </si>
  <si>
    <t>Bezirksregierung Detmold</t>
  </si>
  <si>
    <t xml:space="preserve"> </t>
  </si>
  <si>
    <t>Bezirksregierung
…Arnsberg…………………</t>
  </si>
  <si>
    <t>Kölle</t>
  </si>
  <si>
    <t>Rasse</t>
  </si>
  <si>
    <t>v.H.</t>
  </si>
  <si>
    <t>Beißvorfälle Mensch in v.H. bezogen auf die gemeldete Population der jeweiligen Jahre</t>
  </si>
  <si>
    <t>Sonstige gefährliche Vorfälle in v. H. 
bezogen auf die gemeldete Population der jeweiligen Jahre</t>
  </si>
  <si>
    <t xml:space="preserve"> Berichtergebnis alle Hunde für das Jahr 2013</t>
  </si>
  <si>
    <t>Statistik der Beißvorfälle mit Verletzungen bei anderem Tier</t>
  </si>
  <si>
    <t>Beißvorfälle mit Verletzungen bei anderem Tier i.v.h. bezogen auf die gemeldete Population der jeweiligen Jahre</t>
  </si>
  <si>
    <t>Statistik der sonstigen gefährlichen Vorfälle</t>
  </si>
  <si>
    <t xml:space="preserve">§ 3 Absatz 2 Hunde </t>
  </si>
  <si>
    <t>§ 10 Absatz 1 Hunde</t>
  </si>
  <si>
    <t>alle anderen große Hunde nach § 11 Absatz 1</t>
  </si>
  <si>
    <t>alle kleinen Hunde</t>
  </si>
  <si>
    <t>Anzahl</t>
  </si>
  <si>
    <t>Bezirksregierung Arnsberg</t>
  </si>
  <si>
    <t>Bezirksregierung Düsseldorf</t>
  </si>
  <si>
    <t>Bezirksregierung Köln</t>
  </si>
  <si>
    <t>Bezirksregierung Münster</t>
  </si>
  <si>
    <t>Mensch</t>
  </si>
  <si>
    <t>sonstige Vorfälle</t>
  </si>
  <si>
    <t>Vorfälle mit Hunden nach § 10 Absatz 1 LHundG NRW</t>
  </si>
  <si>
    <t xml:space="preserve"> Berichtergebnis alle Hunde für das Jahr 2014</t>
  </si>
  <si>
    <t>Durchschnitt</t>
  </si>
  <si>
    <t xml:space="preserve"> Berichtergebnis alle Hunde für das Jahr 2016</t>
  </si>
  <si>
    <t xml:space="preserve"> Berichtergebnis alle Hunde für das Jahr 2015</t>
  </si>
  <si>
    <t xml:space="preserve"> Berichtergebnis alle Hunde für das Jahr 2017</t>
  </si>
  <si>
    <t xml:space="preserve"> Berichtergebnis alle Hunde für das Jahr 2018</t>
  </si>
  <si>
    <t xml:space="preserve"> Berichtergebnis alle Hunde für das Jahr 2019</t>
  </si>
  <si>
    <t xml:space="preserve">Tier </t>
  </si>
  <si>
    <t xml:space="preserve"> Berichtergebnis alle Hunde für das Jahr 2020</t>
  </si>
  <si>
    <t xml:space="preserve"> Berichtergebnis alle Hunde für das Jahr 2021</t>
  </si>
  <si>
    <t xml:space="preserve"> Berichtergebnis alle Hunde für das Jahr 2022</t>
  </si>
  <si>
    <t xml:space="preserve"> Berichtergebnis alle Hunde für das Jahr 2023</t>
  </si>
  <si>
    <t xml:space="preserve">Beißvorfälle 
mit Verletzungen 
bei anderem Tier 
im Berichtsjahr </t>
  </si>
  <si>
    <t xml:space="preserve">OWiG-Verfahren 
(§ 20)
 Anzahl
im Berichtsjahr </t>
  </si>
  <si>
    <t>Durchschnitt 
in 10 Jahren</t>
  </si>
  <si>
    <t>Durchschnitt
in  10 Jahren</t>
  </si>
  <si>
    <t>Durchschnitt
in 10 Jahren</t>
  </si>
  <si>
    <t xml:space="preserve"> Berichtergebnis alle Hunde für das Jahr 2012</t>
  </si>
  <si>
    <t>Berichtergebnis alle Hunde für das Jahr 2011</t>
  </si>
  <si>
    <t>Berichtergebnis alle Hunde für das Jahr 2010</t>
  </si>
  <si>
    <t>Berichtergebnis alle Hunde für das Jahr 2009</t>
  </si>
  <si>
    <t>Berichtergebnis alle Hunde für das Jahr 2008</t>
  </si>
  <si>
    <t>Berichtergebnis alle Hunde für das Jahr 2007</t>
  </si>
  <si>
    <t>Anzahl der Entschei-dungen gem. § 3 Abs.3 
(absolut)</t>
  </si>
  <si>
    <t xml:space="preserve">Beißvorfälle 
mit Verletzungen 
beim Menschen 
im Berichtsjahr </t>
  </si>
  <si>
    <r>
      <t xml:space="preserve">Beißvorfälle 
mit Verletzungen 
beim Menschen 
</t>
    </r>
    <r>
      <rPr>
        <b/>
        <sz val="8"/>
        <rFont val="Arial"/>
        <family val="2"/>
      </rPr>
      <t xml:space="preserve">im Berichtsjahr </t>
    </r>
  </si>
  <si>
    <t xml:space="preserve">Strafverfahren 
(§ 19)
Anzahl
im Berichtsjahr </t>
  </si>
  <si>
    <t>Anzahl der Entscheidungen gem. § 3 Abs.3 
(absolut)</t>
  </si>
  <si>
    <t>Berichtergebnis alle Hunde für das Jahr 2006</t>
  </si>
  <si>
    <t>Berichtergebnis alle Hunde für das Jahr 2005</t>
  </si>
  <si>
    <t>Berichtergebnis alle Hunde für das Jahr 2004</t>
  </si>
  <si>
    <t>Berichtergebnis alle Hunde für das Jahr 2003</t>
  </si>
  <si>
    <t>Mischlinge</t>
  </si>
  <si>
    <t>-</t>
  </si>
  <si>
    <t xml:space="preserve">Beißvorfälle 
mit Verletzungen 
bei anderem Tier im Berichtsjahr </t>
  </si>
  <si>
    <t xml:space="preserve">Beißvorfälle 
mit Verletzungen 
beim Menschen im Berichtsjahr </t>
  </si>
  <si>
    <t xml:space="preserve">Strafver-fahren 
(§ 19)
im Berichtsjahr </t>
  </si>
  <si>
    <t xml:space="preserve">OWiG-Verfahren 
(§ 20)
im Berichtsjahr </t>
  </si>
  <si>
    <t>Entschei-dungen 
gem. 
§ 3 Abs. 3</t>
  </si>
  <si>
    <t>Registrierte
Hunde
(absolut)</t>
  </si>
  <si>
    <t>Akita Inu</t>
  </si>
  <si>
    <t>Belgischer Schäferhund (Malinois)</t>
  </si>
  <si>
    <t>Border Collie</t>
  </si>
  <si>
    <t>Cane Corso</t>
  </si>
  <si>
    <t>Deutsche Dogge</t>
  </si>
  <si>
    <t>Deutscher Schäferhund</t>
  </si>
  <si>
    <t>Hovawart</t>
  </si>
  <si>
    <t>Kangal</t>
  </si>
  <si>
    <t>Rhodesian Ridgeback</t>
  </si>
  <si>
    <t>Saarlooswolfhund</t>
  </si>
  <si>
    <t>Siberian Husky</t>
  </si>
  <si>
    <t>Tschechoslowakischer Wolfhund</t>
  </si>
  <si>
    <t>Weimaraner</t>
  </si>
  <si>
    <t>Sonstige große Hunde und Mischlinge</t>
  </si>
  <si>
    <t>erheblich</t>
  </si>
  <si>
    <t>nicht erheblich</t>
  </si>
  <si>
    <t xml:space="preserve"> Berichtergebnis alle Hunde für das Jahr 2024</t>
  </si>
  <si>
    <t>Australian Shepard</t>
  </si>
  <si>
    <t>Australian Shepherd</t>
  </si>
  <si>
    <t>Beißvorfälle am Menschen durch den Dogo Canario</t>
  </si>
  <si>
    <t>Durchschnitt: Hunde nach § 3 II</t>
  </si>
  <si>
    <t>Durchschnitt: Hunde nach § 10 I</t>
  </si>
  <si>
    <t>Durchschnitt: Hunde nach § 11 I</t>
  </si>
  <si>
    <t>Beißvorfälle am anderen Tier durch den Dogo Canario</t>
  </si>
  <si>
    <t>Beißvorfälle am Menschen durch den Miniatur-Bullterrier</t>
  </si>
  <si>
    <t>Beißvorfälle am anderen Tier durch den Miniatur-Bullterrier</t>
  </si>
  <si>
    <t>Miniatur-Bullterrier</t>
  </si>
  <si>
    <t>Relativität der erheblichen Beißvorfälle am Menschen der einzelnen Kategorien</t>
  </si>
  <si>
    <t>Kleine Hunde</t>
  </si>
  <si>
    <t>Relativität der erheblichen Beißvorfälle am anderen Tier der einzelnen Kategorien</t>
  </si>
  <si>
    <t>Gefährliche Hunde
nach § 3 Abs. 2</t>
  </si>
  <si>
    <t>Hunde bestimmter Rassen
nach § 10 Abs. 1</t>
  </si>
  <si>
    <t>Große Hunde
nach § 11</t>
  </si>
  <si>
    <t>Durchschnitt: Hunde nach § 11</t>
  </si>
  <si>
    <t>Durchschnitt: Hunde nach § 11 ohne Dogo Canario</t>
  </si>
  <si>
    <t>Durchschnitt: Gefährliche Hunde nach § 3 Abs. 2</t>
  </si>
  <si>
    <t>Durchschnitt: Hunde sonstiger Rassen nach § 10 Abs. 1</t>
  </si>
  <si>
    <t>Durchschnitt: Große Hunde nach § 11</t>
  </si>
  <si>
    <t>Anteil erhebliche Verletzungen</t>
  </si>
  <si>
    <t>Presa Canario
(Dogo Canario)</t>
  </si>
  <si>
    <t>für die Jahre von 2016 bis 2025</t>
  </si>
  <si>
    <t>Kreuzungen aus und mit diesen Rassen</t>
  </si>
  <si>
    <t xml:space="preserve">             </t>
  </si>
  <si>
    <t>!</t>
  </si>
  <si>
    <t xml:space="preserve"> Berichtergebnis alle Hunde für das Jahr 2025</t>
  </si>
  <si>
    <t xml:space="preserve">Statistik der Beißvorfälle mit Verletzungen am Menschen </t>
  </si>
  <si>
    <t>*Es besteht keine Verpflichtung zur ordnungsbehördlichen Meldung eines kleinen Hundes. Daher besteht eine Wahrscheinlichkeit, dass die tatsächlichen Zahlen höher sind.</t>
  </si>
  <si>
    <t>kleine Hunde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</si>
</sst>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#,##0.000"/>
    <numFmt numFmtId="167" formatCode="0.000"/>
    <numFmt numFmtId="168" formatCode="0.000%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20"/>
      <name val="Arial"/>
      <family val="2"/>
    </font>
    <font>
      <sz val="10"/>
      <name val="Arial"/>
    </font>
    <font>
      <sz val="8"/>
      <name val="Arial"/>
    </font>
    <font>
      <b/>
      <sz val="14"/>
      <name val="Open Sans"/>
      <family val="2"/>
    </font>
    <font>
      <sz val="14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sz val="10"/>
      <color theme="1"/>
      <name val="Open Sans"/>
      <family val="2"/>
    </font>
    <font>
      <sz val="10"/>
      <color theme="0"/>
      <name val="Open Sans"/>
      <family val="2"/>
    </font>
    <font>
      <b/>
      <sz val="20"/>
      <name val="Open Sans"/>
      <family val="2"/>
    </font>
    <font>
      <b/>
      <sz val="12"/>
      <name val="Open Sans"/>
      <family val="2"/>
    </font>
    <font>
      <b/>
      <sz val="8"/>
      <name val="Open Sans"/>
      <family val="2"/>
    </font>
    <font>
      <b/>
      <sz val="9"/>
      <name val="Open Sans"/>
      <family val="2"/>
    </font>
    <font>
      <b/>
      <sz val="11"/>
      <name val="Open Sans"/>
      <family val="2"/>
    </font>
    <font>
      <sz val="11"/>
      <name val="Open Sans"/>
      <family val="2"/>
    </font>
    <font>
      <sz val="11"/>
      <color indexed="9"/>
      <name val="Open Sans"/>
      <family val="2"/>
    </font>
    <font>
      <sz val="9"/>
      <name val="Open Sans"/>
      <family val="2"/>
    </font>
    <font>
      <b/>
      <sz val="11"/>
      <color indexed="9"/>
      <name val="Open Sans"/>
      <family val="2"/>
    </font>
    <font>
      <i/>
      <sz val="11"/>
      <name val="Open Sans"/>
      <family val="2"/>
    </font>
    <font>
      <b/>
      <sz val="6"/>
      <name val="Open Sans"/>
      <family val="2"/>
    </font>
    <font>
      <sz val="9"/>
      <color theme="1"/>
      <name val="Open Sans"/>
      <family val="2"/>
    </font>
    <font>
      <sz val="10.5"/>
      <name val="Open Sans"/>
      <family val="2"/>
    </font>
    <font>
      <b/>
      <sz val="10.5"/>
      <name val="Open Sans"/>
      <family val="2"/>
    </font>
    <font>
      <sz val="10.5"/>
      <color theme="1"/>
      <name val="Open Sans"/>
      <family val="2"/>
    </font>
    <font>
      <b/>
      <sz val="10.5"/>
      <color theme="1"/>
      <name val="Open Sans"/>
      <family val="2"/>
    </font>
    <font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5" fillId="7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4" fillId="0" borderId="0"/>
    <xf numFmtId="0" fontId="3" fillId="0" borderId="0"/>
    <xf numFmtId="0" fontId="2" fillId="0" borderId="0"/>
    <xf numFmtId="0" fontId="3" fillId="0" borderId="0"/>
    <xf numFmtId="0" fontId="19" fillId="0" borderId="0"/>
    <xf numFmtId="0" fontId="1" fillId="0" borderId="0"/>
  </cellStyleXfs>
  <cellXfs count="571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Border="1"/>
    <xf numFmtId="0" fontId="7" fillId="0" borderId="0" xfId="0" applyFont="1"/>
    <xf numFmtId="0" fontId="10" fillId="0" borderId="0" xfId="0" applyFont="1" applyFill="1" applyBorder="1"/>
    <xf numFmtId="0" fontId="8" fillId="0" borderId="1" xfId="0" applyFont="1" applyBorder="1"/>
    <xf numFmtId="0" fontId="7" fillId="0" borderId="0" xfId="0" applyFont="1" applyBorder="1"/>
    <xf numFmtId="0" fontId="8" fillId="0" borderId="2" xfId="0" applyFont="1" applyBorder="1"/>
    <xf numFmtId="0" fontId="8" fillId="0" borderId="3" xfId="0" applyFont="1" applyFill="1" applyBorder="1"/>
    <xf numFmtId="0" fontId="8" fillId="0" borderId="4" xfId="0" applyFont="1" applyFill="1" applyBorder="1"/>
    <xf numFmtId="0" fontId="10" fillId="0" borderId="5" xfId="0" applyFont="1" applyFill="1" applyBorder="1"/>
    <xf numFmtId="0" fontId="8" fillId="0" borderId="3" xfId="0" applyFont="1" applyBorder="1"/>
    <xf numFmtId="0" fontId="8" fillId="0" borderId="4" xfId="0" applyFont="1" applyBorder="1"/>
    <xf numFmtId="0" fontId="10" fillId="0" borderId="5" xfId="0" applyFont="1" applyBorder="1"/>
    <xf numFmtId="0" fontId="10" fillId="0" borderId="1" xfId="0" applyFont="1" applyBorder="1"/>
    <xf numFmtId="0" fontId="7" fillId="0" borderId="6" xfId="0" applyFont="1" applyBorder="1"/>
    <xf numFmtId="0" fontId="10" fillId="0" borderId="0" xfId="0" applyFont="1" applyBorder="1"/>
    <xf numFmtId="0" fontId="0" fillId="0" borderId="7" xfId="0" applyBorder="1"/>
    <xf numFmtId="0" fontId="6" fillId="3" borderId="2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0" borderId="26" xfId="0" applyBorder="1"/>
    <xf numFmtId="165" fontId="0" fillId="0" borderId="0" xfId="3" applyFont="1"/>
    <xf numFmtId="0" fontId="6" fillId="2" borderId="13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0" fillId="0" borderId="19" xfId="0" applyBorder="1"/>
    <xf numFmtId="0" fontId="0" fillId="0" borderId="2" xfId="0" applyBorder="1"/>
    <xf numFmtId="0" fontId="0" fillId="0" borderId="13" xfId="0" applyBorder="1"/>
    <xf numFmtId="0" fontId="0" fillId="0" borderId="1" xfId="0" applyBorder="1"/>
    <xf numFmtId="0" fontId="0" fillId="0" borderId="32" xfId="0" applyBorder="1" applyAlignment="1">
      <alignment wrapText="1"/>
    </xf>
    <xf numFmtId="0" fontId="0" fillId="0" borderId="14" xfId="0" applyBorder="1"/>
    <xf numFmtId="0" fontId="0" fillId="0" borderId="3" xfId="0" applyBorder="1"/>
    <xf numFmtId="0" fontId="0" fillId="0" borderId="30" xfId="0" applyBorder="1"/>
    <xf numFmtId="0" fontId="0" fillId="0" borderId="36" xfId="0" applyBorder="1" applyAlignment="1">
      <alignment wrapText="1"/>
    </xf>
    <xf numFmtId="0" fontId="0" fillId="0" borderId="36" xfId="0" applyBorder="1"/>
    <xf numFmtId="0" fontId="0" fillId="0" borderId="18" xfId="0" applyBorder="1"/>
    <xf numFmtId="0" fontId="0" fillId="0" borderId="4" xfId="0" applyBorder="1"/>
    <xf numFmtId="0" fontId="0" fillId="0" borderId="37" xfId="0" applyBorder="1"/>
    <xf numFmtId="0" fontId="0" fillId="0" borderId="38" xfId="0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0" fillId="0" borderId="39" xfId="0" applyBorder="1"/>
    <xf numFmtId="0" fontId="0" fillId="0" borderId="9" xfId="0" applyBorder="1"/>
    <xf numFmtId="0" fontId="0" fillId="0" borderId="34" xfId="0" applyBorder="1"/>
    <xf numFmtId="0" fontId="0" fillId="0" borderId="40" xfId="0" applyBorder="1" applyAlignment="1">
      <alignment wrapText="1"/>
    </xf>
    <xf numFmtId="0" fontId="0" fillId="0" borderId="5" xfId="0" applyBorder="1"/>
    <xf numFmtId="0" fontId="0" fillId="0" borderId="41" xfId="0" applyBorder="1"/>
    <xf numFmtId="0" fontId="0" fillId="0" borderId="4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/>
    <xf numFmtId="0" fontId="0" fillId="0" borderId="31" xfId="0" applyBorder="1"/>
    <xf numFmtId="0" fontId="0" fillId="0" borderId="32" xfId="0" applyBorder="1"/>
    <xf numFmtId="0" fontId="0" fillId="0" borderId="38" xfId="0" applyBorder="1"/>
    <xf numFmtId="0" fontId="0" fillId="0" borderId="40" xfId="0" applyBorder="1"/>
    <xf numFmtId="3" fontId="0" fillId="0" borderId="7" xfId="0" applyNumberFormat="1" applyBorder="1"/>
    <xf numFmtId="0" fontId="0" fillId="0" borderId="43" xfId="0" applyBorder="1"/>
    <xf numFmtId="0" fontId="0" fillId="0" borderId="42" xfId="0" applyBorder="1"/>
    <xf numFmtId="3" fontId="0" fillId="0" borderId="19" xfId="0" applyNumberFormat="1" applyBorder="1"/>
    <xf numFmtId="3" fontId="0" fillId="0" borderId="14" xfId="0" applyNumberFormat="1" applyBorder="1"/>
    <xf numFmtId="0" fontId="0" fillId="0" borderId="0" xfId="0" applyFill="1" applyBorder="1"/>
    <xf numFmtId="3" fontId="0" fillId="0" borderId="18" xfId="0" applyNumberFormat="1" applyBorder="1"/>
    <xf numFmtId="0" fontId="10" fillId="0" borderId="43" xfId="0" applyFont="1" applyBorder="1"/>
    <xf numFmtId="3" fontId="0" fillId="0" borderId="44" xfId="0" applyNumberFormat="1" applyBorder="1"/>
    <xf numFmtId="0" fontId="0" fillId="0" borderId="44" xfId="0" applyBorder="1"/>
    <xf numFmtId="0" fontId="4" fillId="0" borderId="0" xfId="0" applyFont="1" applyAlignment="1">
      <alignment horizontal="center" vertical="top" wrapText="1"/>
    </xf>
    <xf numFmtId="3" fontId="8" fillId="8" borderId="25" xfId="0" applyNumberFormat="1" applyFont="1" applyFill="1" applyBorder="1"/>
    <xf numFmtId="3" fontId="8" fillId="8" borderId="15" xfId="0" applyNumberFormat="1" applyFont="1" applyFill="1" applyBorder="1"/>
    <xf numFmtId="3" fontId="8" fillId="8" borderId="24" xfId="0" applyNumberFormat="1" applyFont="1" applyFill="1" applyBorder="1"/>
    <xf numFmtId="3" fontId="7" fillId="8" borderId="8" xfId="0" applyNumberFormat="1" applyFont="1" applyFill="1" applyBorder="1"/>
    <xf numFmtId="0" fontId="6" fillId="0" borderId="5" xfId="0" applyFont="1" applyBorder="1"/>
    <xf numFmtId="0" fontId="6" fillId="0" borderId="7" xfId="0" applyFont="1" applyBorder="1"/>
    <xf numFmtId="0" fontId="6" fillId="0" borderId="41" xfId="0" applyFont="1" applyBorder="1"/>
    <xf numFmtId="0" fontId="6" fillId="0" borderId="42" xfId="0" applyFont="1" applyBorder="1" applyAlignment="1">
      <alignment wrapText="1"/>
    </xf>
    <xf numFmtId="0" fontId="6" fillId="0" borderId="43" xfId="0" applyFont="1" applyBorder="1"/>
    <xf numFmtId="0" fontId="6" fillId="0" borderId="42" xfId="0" applyFont="1" applyBorder="1"/>
    <xf numFmtId="0" fontId="0" fillId="0" borderId="0" xfId="0" applyFill="1" applyBorder="1" applyAlignment="1">
      <alignment wrapText="1"/>
    </xf>
    <xf numFmtId="3" fontId="6" fillId="0" borderId="7" xfId="0" applyNumberFormat="1" applyFont="1" applyBorder="1"/>
    <xf numFmtId="0" fontId="6" fillId="0" borderId="42" xfId="0" quotePrefix="1" applyFont="1" applyBorder="1"/>
    <xf numFmtId="0" fontId="9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64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Fill="1" applyBorder="1"/>
    <xf numFmtId="0" fontId="5" fillId="0" borderId="0" xfId="0" applyFont="1" applyAlignment="1">
      <alignment horizontal="center"/>
    </xf>
    <xf numFmtId="0" fontId="7" fillId="0" borderId="66" xfId="0" applyFont="1" applyBorder="1"/>
    <xf numFmtId="0" fontId="5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right" vertical="center"/>
    </xf>
    <xf numFmtId="3" fontId="11" fillId="5" borderId="7" xfId="0" applyNumberFormat="1" applyFont="1" applyFill="1" applyBorder="1" applyAlignment="1">
      <alignment horizontal="right" vertical="center"/>
    </xf>
    <xf numFmtId="166" fontId="8" fillId="4" borderId="7" xfId="0" applyNumberFormat="1" applyFont="1" applyFill="1" applyBorder="1" applyAlignment="1">
      <alignment horizontal="right" vertical="center"/>
    </xf>
    <xf numFmtId="3" fontId="8" fillId="3" borderId="7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7" fillId="11" borderId="7" xfId="0" applyNumberFormat="1" applyFont="1" applyFill="1" applyBorder="1" applyAlignment="1">
      <alignment horizontal="right" vertical="center"/>
    </xf>
    <xf numFmtId="166" fontId="7" fillId="4" borderId="7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 vertical="center"/>
    </xf>
    <xf numFmtId="0" fontId="7" fillId="11" borderId="7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4" borderId="7" xfId="0" applyNumberFormat="1" applyFont="1" applyFill="1" applyBorder="1" applyAlignment="1">
      <alignment horizontal="right" vertical="center"/>
    </xf>
    <xf numFmtId="3" fontId="7" fillId="3" borderId="7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" fontId="17" fillId="2" borderId="7" xfId="0" applyNumberFormat="1" applyFont="1" applyFill="1" applyBorder="1" applyAlignment="1">
      <alignment horizontal="right" vertical="center" wrapText="1"/>
    </xf>
    <xf numFmtId="3" fontId="16" fillId="10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3" fontId="4" fillId="2" borderId="7" xfId="0" applyNumberFormat="1" applyFont="1" applyFill="1" applyBorder="1" applyAlignment="1">
      <alignment horizontal="right" vertical="center"/>
    </xf>
    <xf numFmtId="166" fontId="4" fillId="4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/>
    <xf numFmtId="0" fontId="7" fillId="0" borderId="0" xfId="0" applyFont="1" applyFill="1" applyBorder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7" xfId="0" applyFont="1" applyBorder="1"/>
    <xf numFmtId="0" fontId="7" fillId="0" borderId="1" xfId="0" applyFont="1" applyBorder="1"/>
    <xf numFmtId="3" fontId="7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6" fillId="0" borderId="0" xfId="0" applyFont="1"/>
    <xf numFmtId="0" fontId="3" fillId="0" borderId="7" xfId="0" applyFont="1" applyBorder="1" applyAlignment="1">
      <alignment horizontal="right" vertical="center"/>
    </xf>
    <xf numFmtId="3" fontId="4" fillId="10" borderId="7" xfId="0" applyNumberFormat="1" applyFont="1" applyFill="1" applyBorder="1" applyAlignment="1">
      <alignment horizontal="right" vertical="center"/>
    </xf>
    <xf numFmtId="0" fontId="3" fillId="0" borderId="66" xfId="0" applyFont="1" applyBorder="1"/>
    <xf numFmtId="0" fontId="3" fillId="0" borderId="76" xfId="0" applyFont="1" applyBorder="1"/>
    <xf numFmtId="3" fontId="3" fillId="0" borderId="19" xfId="0" applyNumberFormat="1" applyFont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vertical="center" wrapText="1"/>
    </xf>
    <xf numFmtId="0" fontId="8" fillId="0" borderId="66" xfId="0" applyFont="1" applyBorder="1"/>
    <xf numFmtId="165" fontId="3" fillId="0" borderId="0" xfId="3" applyFont="1"/>
    <xf numFmtId="0" fontId="4" fillId="0" borderId="0" xfId="0" applyFont="1"/>
    <xf numFmtId="165" fontId="6" fillId="0" borderId="0" xfId="3" applyFont="1"/>
    <xf numFmtId="0" fontId="9" fillId="3" borderId="13" xfId="0" applyFont="1" applyFill="1" applyBorder="1" applyAlignment="1">
      <alignment horizontal="center" vertical="center" wrapText="1"/>
    </xf>
    <xf numFmtId="0" fontId="9" fillId="3" borderId="72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0" fillId="0" borderId="0" xfId="0" applyBorder="1" applyAlignment="1"/>
    <xf numFmtId="3" fontId="8" fillId="0" borderId="13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80" xfId="0" applyFont="1" applyFill="1" applyBorder="1" applyAlignment="1">
      <alignment horizontal="center" vertical="center" wrapText="1"/>
    </xf>
    <xf numFmtId="3" fontId="10" fillId="0" borderId="0" xfId="0" applyNumberFormat="1" applyFont="1" applyBorder="1"/>
    <xf numFmtId="0" fontId="0" fillId="0" borderId="0" xfId="0" applyFill="1" applyBorder="1" applyAlignment="1"/>
    <xf numFmtId="3" fontId="4" fillId="0" borderId="0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10" fillId="0" borderId="1" xfId="0" applyFont="1" applyBorder="1" applyAlignment="1"/>
    <xf numFmtId="0" fontId="10" fillId="0" borderId="0" xfId="0" applyFont="1" applyBorder="1" applyAlignment="1"/>
    <xf numFmtId="0" fontId="0" fillId="0" borderId="0" xfId="0" applyAlignment="1"/>
    <xf numFmtId="0" fontId="22" fillId="0" borderId="0" xfId="0" applyFont="1"/>
    <xf numFmtId="0" fontId="23" fillId="0" borderId="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4" fillId="0" borderId="0" xfId="0" applyFont="1"/>
    <xf numFmtId="0" fontId="24" fillId="0" borderId="7" xfId="1" applyFont="1" applyFill="1" applyBorder="1" applyAlignment="1">
      <alignment horizontal="center" vertical="center" wrapText="1"/>
    </xf>
    <xf numFmtId="0" fontId="24" fillId="0" borderId="7" xfId="1" applyFont="1" applyFill="1" applyBorder="1" applyAlignment="1">
      <alignment horizontal="center" vertical="center"/>
    </xf>
    <xf numFmtId="2" fontId="25" fillId="9" borderId="39" xfId="1" applyNumberFormat="1" applyFont="1" applyFill="1" applyBorder="1" applyAlignment="1">
      <alignment horizontal="right" vertical="center"/>
    </xf>
    <xf numFmtId="0" fontId="24" fillId="0" borderId="44" xfId="1" applyFont="1" applyFill="1" applyBorder="1" applyAlignment="1">
      <alignment horizontal="center" vertical="center" wrapText="1"/>
    </xf>
    <xf numFmtId="0" fontId="24" fillId="0" borderId="41" xfId="1" applyFont="1" applyFill="1" applyBorder="1" applyAlignment="1">
      <alignment horizontal="center" vertical="center" wrapText="1"/>
    </xf>
    <xf numFmtId="0" fontId="24" fillId="0" borderId="52" xfId="1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/>
    </xf>
    <xf numFmtId="0" fontId="24" fillId="0" borderId="42" xfId="1" applyFont="1" applyFill="1" applyBorder="1" applyAlignment="1">
      <alignment horizontal="center" vertical="center" wrapText="1"/>
    </xf>
    <xf numFmtId="0" fontId="24" fillId="13" borderId="16" xfId="1" applyFont="1" applyFill="1" applyBorder="1" applyAlignment="1">
      <alignment vertical="center"/>
    </xf>
    <xf numFmtId="2" fontId="25" fillId="13" borderId="14" xfId="1" applyNumberFormat="1" applyFont="1" applyFill="1" applyBorder="1" applyAlignment="1">
      <alignment horizontal="right" vertical="center"/>
    </xf>
    <xf numFmtId="4" fontId="24" fillId="13" borderId="45" xfId="1" applyNumberFormat="1" applyFont="1" applyFill="1" applyBorder="1" applyAlignment="1">
      <alignment horizontal="right" vertical="center"/>
    </xf>
    <xf numFmtId="2" fontId="24" fillId="13" borderId="45" xfId="0" applyNumberFormat="1" applyFont="1" applyFill="1" applyBorder="1" applyAlignment="1">
      <alignment horizontal="right" vertical="center"/>
    </xf>
    <xf numFmtId="2" fontId="24" fillId="13" borderId="36" xfId="0" applyNumberFormat="1" applyFont="1" applyFill="1" applyBorder="1" applyAlignment="1">
      <alignment horizontal="right" vertical="center"/>
    </xf>
    <xf numFmtId="0" fontId="24" fillId="0" borderId="14" xfId="1" applyFont="1" applyFill="1" applyBorder="1" applyAlignment="1">
      <alignment vertical="center"/>
    </xf>
    <xf numFmtId="2" fontId="25" fillId="12" borderId="14" xfId="1" applyNumberFormat="1" applyFont="1" applyFill="1" applyBorder="1" applyAlignment="1">
      <alignment horizontal="right" vertical="center"/>
    </xf>
    <xf numFmtId="4" fontId="24" fillId="0" borderId="45" xfId="1" applyNumberFormat="1" applyFont="1" applyFill="1" applyBorder="1" applyAlignment="1">
      <alignment horizontal="right" vertical="center" wrapText="1"/>
    </xf>
    <xf numFmtId="2" fontId="24" fillId="0" borderId="45" xfId="0" applyNumberFormat="1" applyFont="1" applyFill="1" applyBorder="1" applyAlignment="1">
      <alignment horizontal="right" vertical="center"/>
    </xf>
    <xf numFmtId="4" fontId="24" fillId="0" borderId="45" xfId="1" applyNumberFormat="1" applyFont="1" applyFill="1" applyBorder="1" applyAlignment="1">
      <alignment horizontal="right" vertical="center"/>
    </xf>
    <xf numFmtId="2" fontId="24" fillId="0" borderId="21" xfId="0" applyNumberFormat="1" applyFont="1" applyFill="1" applyBorder="1" applyAlignment="1">
      <alignment horizontal="right" vertical="center"/>
    </xf>
    <xf numFmtId="2" fontId="24" fillId="0" borderId="36" xfId="0" applyNumberFormat="1" applyFont="1" applyFill="1" applyBorder="1" applyAlignment="1">
      <alignment horizontal="right" vertical="center"/>
    </xf>
    <xf numFmtId="0" fontId="24" fillId="0" borderId="18" xfId="1" applyFont="1" applyFill="1" applyBorder="1" applyAlignment="1">
      <alignment vertical="center" wrapText="1"/>
    </xf>
    <xf numFmtId="2" fontId="25" fillId="12" borderId="18" xfId="1" applyNumberFormat="1" applyFont="1" applyFill="1" applyBorder="1" applyAlignment="1">
      <alignment horizontal="right" vertical="center"/>
    </xf>
    <xf numFmtId="4" fontId="24" fillId="0" borderId="48" xfId="1" applyNumberFormat="1" applyFont="1" applyFill="1" applyBorder="1" applyAlignment="1">
      <alignment horizontal="right" vertical="center"/>
    </xf>
    <xf numFmtId="2" fontId="24" fillId="0" borderId="48" xfId="0" applyNumberFormat="1" applyFont="1" applyFill="1" applyBorder="1" applyAlignment="1">
      <alignment horizontal="right" vertical="center"/>
    </xf>
    <xf numFmtId="4" fontId="24" fillId="0" borderId="35" xfId="1" applyNumberFormat="1" applyFont="1" applyFill="1" applyBorder="1" applyAlignment="1">
      <alignment horizontal="right" vertical="center"/>
    </xf>
    <xf numFmtId="2" fontId="24" fillId="0" borderId="35" xfId="0" applyNumberFormat="1" applyFont="1" applyFill="1" applyBorder="1" applyAlignment="1">
      <alignment horizontal="right" vertical="center"/>
    </xf>
    <xf numFmtId="2" fontId="24" fillId="0" borderId="54" xfId="0" applyNumberFormat="1" applyFont="1" applyFill="1" applyBorder="1" applyAlignment="1">
      <alignment horizontal="right" vertical="center"/>
    </xf>
    <xf numFmtId="2" fontId="24" fillId="0" borderId="40" xfId="0" applyNumberFormat="1" applyFont="1" applyFill="1" applyBorder="1" applyAlignment="1">
      <alignment horizontal="right" vertical="center"/>
    </xf>
    <xf numFmtId="0" fontId="24" fillId="0" borderId="7" xfId="1" applyFont="1" applyFill="1" applyBorder="1" applyAlignment="1">
      <alignment vertical="center" wrapText="1"/>
    </xf>
    <xf numFmtId="2" fontId="25" fillId="9" borderId="7" xfId="1" applyNumberFormat="1" applyFont="1" applyFill="1" applyBorder="1" applyAlignment="1">
      <alignment horizontal="right" vertical="center"/>
    </xf>
    <xf numFmtId="4" fontId="24" fillId="0" borderId="44" xfId="1" applyNumberFormat="1" applyFont="1" applyFill="1" applyBorder="1" applyAlignment="1">
      <alignment horizontal="right" vertical="center"/>
    </xf>
    <xf numFmtId="2" fontId="24" fillId="0" borderId="44" xfId="0" applyNumberFormat="1" applyFont="1" applyFill="1" applyBorder="1" applyAlignment="1">
      <alignment horizontal="right" vertical="center"/>
    </xf>
    <xf numFmtId="2" fontId="24" fillId="0" borderId="52" xfId="0" applyNumberFormat="1" applyFont="1" applyFill="1" applyBorder="1" applyAlignment="1">
      <alignment horizontal="right" vertical="center"/>
    </xf>
    <xf numFmtId="2" fontId="24" fillId="0" borderId="42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1" applyFont="1" applyFill="1" applyBorder="1" applyAlignment="1">
      <alignment wrapText="1"/>
    </xf>
    <xf numFmtId="4" fontId="24" fillId="0" borderId="0" xfId="1" applyNumberFormat="1" applyFont="1" applyFill="1" applyBorder="1" applyAlignment="1"/>
    <xf numFmtId="4" fontId="24" fillId="0" borderId="6" xfId="1" applyNumberFormat="1" applyFont="1" applyFill="1" applyBorder="1" applyAlignment="1">
      <alignment horizontal="right"/>
    </xf>
    <xf numFmtId="4" fontId="26" fillId="0" borderId="0" xfId="0" applyNumberFormat="1" applyFont="1"/>
    <xf numFmtId="0" fontId="23" fillId="0" borderId="0" xfId="0" applyFont="1" applyAlignment="1"/>
    <xf numFmtId="0" fontId="24" fillId="0" borderId="5" xfId="1" applyFont="1" applyFill="1" applyBorder="1" applyAlignment="1">
      <alignment horizontal="center" vertical="center" wrapText="1"/>
    </xf>
    <xf numFmtId="0" fontId="24" fillId="0" borderId="81" xfId="1" applyFont="1" applyFill="1" applyBorder="1" applyAlignment="1">
      <alignment vertical="center"/>
    </xf>
    <xf numFmtId="2" fontId="25" fillId="9" borderId="14" xfId="1" applyNumberFormat="1" applyFont="1" applyFill="1" applyBorder="1" applyAlignment="1">
      <alignment horizontal="right" vertical="center"/>
    </xf>
    <xf numFmtId="4" fontId="24" fillId="0" borderId="21" xfId="1" applyNumberFormat="1" applyFont="1" applyFill="1" applyBorder="1" applyAlignment="1">
      <alignment horizontal="right" vertical="center"/>
    </xf>
    <xf numFmtId="2" fontId="24" fillId="0" borderId="45" xfId="0" applyNumberFormat="1" applyFont="1" applyBorder="1" applyAlignment="1">
      <alignment horizontal="right" vertical="center"/>
    </xf>
    <xf numFmtId="2" fontId="24" fillId="0" borderId="47" xfId="0" applyNumberFormat="1" applyFont="1" applyFill="1" applyBorder="1" applyAlignment="1">
      <alignment horizontal="right" vertical="center"/>
    </xf>
    <xf numFmtId="2" fontId="24" fillId="0" borderId="53" xfId="0" applyNumberFormat="1" applyFont="1" applyFill="1" applyBorder="1" applyAlignment="1">
      <alignment horizontal="right" vertical="center"/>
    </xf>
    <xf numFmtId="0" fontId="24" fillId="0" borderId="3" xfId="1" applyFont="1" applyFill="1" applyBorder="1" applyAlignment="1">
      <alignment vertical="center"/>
    </xf>
    <xf numFmtId="0" fontId="24" fillId="0" borderId="9" xfId="1" applyFont="1" applyFill="1" applyBorder="1" applyAlignment="1">
      <alignment vertical="center" wrapText="1"/>
    </xf>
    <xf numFmtId="4" fontId="24" fillId="0" borderId="54" xfId="1" applyNumberFormat="1" applyFont="1" applyFill="1" applyBorder="1" applyAlignment="1">
      <alignment horizontal="right" vertical="center"/>
    </xf>
    <xf numFmtId="2" fontId="24" fillId="0" borderId="38" xfId="0" applyNumberFormat="1" applyFont="1" applyFill="1" applyBorder="1" applyAlignment="1">
      <alignment horizontal="right" vertical="center"/>
    </xf>
    <xf numFmtId="2" fontId="24" fillId="0" borderId="51" xfId="0" applyNumberFormat="1" applyFont="1" applyBorder="1" applyAlignment="1">
      <alignment horizontal="right" vertical="center"/>
    </xf>
    <xf numFmtId="4" fontId="24" fillId="0" borderId="52" xfId="1" applyNumberFormat="1" applyFont="1" applyFill="1" applyBorder="1" applyAlignment="1">
      <alignment horizontal="right" vertical="center"/>
    </xf>
    <xf numFmtId="4" fontId="24" fillId="0" borderId="55" xfId="1" applyNumberFormat="1" applyFont="1" applyFill="1" applyBorder="1" applyAlignment="1">
      <alignment horizontal="right" vertical="center"/>
    </xf>
    <xf numFmtId="2" fontId="24" fillId="0" borderId="44" xfId="0" applyNumberFormat="1" applyFont="1" applyBorder="1" applyAlignment="1">
      <alignment horizontal="right" vertical="center"/>
    </xf>
    <xf numFmtId="0" fontId="24" fillId="0" borderId="19" xfId="1" applyFont="1" applyFill="1" applyBorder="1" applyAlignment="1">
      <alignment horizontal="left" vertical="center"/>
    </xf>
    <xf numFmtId="4" fontId="24" fillId="0" borderId="45" xfId="1" applyNumberFormat="1" applyFont="1" applyFill="1" applyBorder="1" applyAlignment="1">
      <alignment horizontal="center" vertical="center"/>
    </xf>
    <xf numFmtId="0" fontId="24" fillId="0" borderId="16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left" vertical="center" wrapText="1"/>
    </xf>
    <xf numFmtId="2" fontId="24" fillId="0" borderId="36" xfId="0" applyNumberFormat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vertical="center" wrapText="1"/>
    </xf>
    <xf numFmtId="0" fontId="24" fillId="0" borderId="39" xfId="1" applyFont="1" applyFill="1" applyBorder="1" applyAlignment="1">
      <alignment vertical="center" wrapText="1"/>
    </xf>
    <xf numFmtId="2" fontId="24" fillId="0" borderId="35" xfId="0" applyNumberFormat="1" applyFont="1" applyBorder="1" applyAlignment="1">
      <alignment horizontal="right" vertical="center"/>
    </xf>
    <xf numFmtId="2" fontId="24" fillId="0" borderId="48" xfId="0" applyNumberFormat="1" applyFont="1" applyBorder="1" applyAlignment="1">
      <alignment horizontal="right" vertical="center"/>
    </xf>
    <xf numFmtId="0" fontId="24" fillId="0" borderId="7" xfId="1" applyFont="1" applyFill="1" applyBorder="1" applyAlignment="1">
      <alignment vertical="center"/>
    </xf>
    <xf numFmtId="2" fontId="25" fillId="12" borderId="7" xfId="1" applyNumberFormat="1" applyFont="1" applyFill="1" applyBorder="1" applyAlignment="1">
      <alignment horizontal="right" vertical="center"/>
    </xf>
    <xf numFmtId="2" fontId="24" fillId="0" borderId="44" xfId="1" applyNumberFormat="1" applyFont="1" applyFill="1" applyBorder="1" applyAlignment="1">
      <alignment horizontal="right" vertical="center"/>
    </xf>
    <xf numFmtId="2" fontId="24" fillId="0" borderId="52" xfId="1" applyNumberFormat="1" applyFont="1" applyFill="1" applyBorder="1" applyAlignment="1">
      <alignment horizontal="right" vertical="center"/>
    </xf>
    <xf numFmtId="2" fontId="24" fillId="0" borderId="55" xfId="1" applyNumberFormat="1" applyFont="1" applyFill="1" applyBorder="1" applyAlignment="1">
      <alignment horizontal="right" vertical="center"/>
    </xf>
    <xf numFmtId="0" fontId="24" fillId="0" borderId="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9" fillId="3" borderId="83" xfId="0" applyFont="1" applyFill="1" applyBorder="1" applyAlignment="1">
      <alignment horizontal="center" vertical="center" wrapText="1"/>
    </xf>
    <xf numFmtId="0" fontId="29" fillId="3" borderId="84" xfId="0" applyFont="1" applyFill="1" applyBorder="1" applyAlignment="1">
      <alignment horizontal="center" vertical="center" wrapText="1"/>
    </xf>
    <xf numFmtId="0" fontId="29" fillId="10" borderId="83" xfId="0" applyFont="1" applyFill="1" applyBorder="1" applyAlignment="1">
      <alignment horizontal="center" vertical="center" wrapText="1"/>
    </xf>
    <xf numFmtId="0" fontId="29" fillId="10" borderId="84" xfId="0" applyFont="1" applyFill="1" applyBorder="1" applyAlignment="1">
      <alignment horizontal="center" vertical="center" wrapText="1"/>
    </xf>
    <xf numFmtId="0" fontId="31" fillId="0" borderId="0" xfId="0" applyFont="1" applyBorder="1"/>
    <xf numFmtId="0" fontId="32" fillId="0" borderId="0" xfId="0" applyFont="1" applyBorder="1"/>
    <xf numFmtId="0" fontId="31" fillId="0" borderId="1" xfId="0" applyFont="1" applyBorder="1"/>
    <xf numFmtId="0" fontId="31" fillId="0" borderId="6" xfId="0" applyFont="1" applyBorder="1"/>
    <xf numFmtId="0" fontId="24" fillId="0" borderId="6" xfId="0" applyFont="1" applyBorder="1"/>
    <xf numFmtId="0" fontId="23" fillId="0" borderId="0" xfId="0" applyFont="1" applyFill="1"/>
    <xf numFmtId="0" fontId="24" fillId="0" borderId="0" xfId="0" applyFont="1" applyFill="1" applyAlignment="1">
      <alignment horizontal="right"/>
    </xf>
    <xf numFmtId="0" fontId="24" fillId="0" borderId="0" xfId="0" applyFont="1" applyFill="1"/>
    <xf numFmtId="0" fontId="32" fillId="0" borderId="5" xfId="0" applyFont="1" applyBorder="1"/>
    <xf numFmtId="3" fontId="32" fillId="0" borderId="7" xfId="0" applyNumberFormat="1" applyFont="1" applyBorder="1" applyAlignment="1">
      <alignment horizontal="right" vertical="center"/>
    </xf>
    <xf numFmtId="3" fontId="32" fillId="0" borderId="19" xfId="0" applyNumberFormat="1" applyFont="1" applyBorder="1" applyAlignment="1">
      <alignment horizontal="right" vertical="center"/>
    </xf>
    <xf numFmtId="3" fontId="32" fillId="0" borderId="5" xfId="0" applyNumberFormat="1" applyFont="1" applyBorder="1" applyAlignment="1">
      <alignment horizontal="right" vertical="center"/>
    </xf>
    <xf numFmtId="3" fontId="33" fillId="5" borderId="7" xfId="0" applyNumberFormat="1" applyFont="1" applyFill="1" applyBorder="1" applyAlignment="1">
      <alignment horizontal="right" vertical="center"/>
    </xf>
    <xf numFmtId="3" fontId="32" fillId="0" borderId="12" xfId="0" applyNumberFormat="1" applyFont="1" applyBorder="1" applyAlignment="1">
      <alignment horizontal="right" vertical="center"/>
    </xf>
    <xf numFmtId="166" fontId="32" fillId="4" borderId="7" xfId="0" applyNumberFormat="1" applyFont="1" applyFill="1" applyBorder="1" applyAlignment="1">
      <alignment horizontal="right" vertical="center"/>
    </xf>
    <xf numFmtId="0" fontId="32" fillId="0" borderId="12" xfId="0" applyFont="1" applyBorder="1" applyAlignment="1">
      <alignment horizontal="right" vertical="center"/>
    </xf>
    <xf numFmtId="0" fontId="32" fillId="0" borderId="7" xfId="0" applyFont="1" applyBorder="1" applyAlignment="1">
      <alignment horizontal="right" vertical="center"/>
    </xf>
    <xf numFmtId="0" fontId="32" fillId="0" borderId="5" xfId="0" applyFont="1" applyBorder="1" applyAlignment="1">
      <alignment horizontal="right" vertical="center"/>
    </xf>
    <xf numFmtId="10" fontId="24" fillId="0" borderId="0" xfId="0" applyNumberFormat="1" applyFont="1" applyFill="1"/>
    <xf numFmtId="168" fontId="24" fillId="0" borderId="0" xfId="0" applyNumberFormat="1" applyFont="1" applyFill="1"/>
    <xf numFmtId="0" fontId="32" fillId="0" borderId="5" xfId="0" applyFont="1" applyFill="1" applyBorder="1"/>
    <xf numFmtId="0" fontId="34" fillId="0" borderId="5" xfId="0" applyFont="1" applyFill="1" applyBorder="1" applyAlignment="1">
      <alignment vertical="center" wrapText="1"/>
    </xf>
    <xf numFmtId="0" fontId="31" fillId="0" borderId="5" xfId="0" applyFont="1" applyFill="1" applyBorder="1"/>
    <xf numFmtId="3" fontId="31" fillId="0" borderId="7" xfId="0" applyNumberFormat="1" applyFont="1" applyFill="1" applyBorder="1" applyAlignment="1">
      <alignment horizontal="right" vertical="center"/>
    </xf>
    <xf numFmtId="3" fontId="31" fillId="0" borderId="5" xfId="0" applyNumberFormat="1" applyFont="1" applyFill="1" applyBorder="1" applyAlignment="1">
      <alignment horizontal="right" vertical="center"/>
    </xf>
    <xf numFmtId="3" fontId="35" fillId="5" borderId="7" xfId="0" applyNumberFormat="1" applyFont="1" applyFill="1" applyBorder="1" applyAlignment="1">
      <alignment horizontal="right" vertical="center"/>
    </xf>
    <xf numFmtId="3" fontId="31" fillId="0" borderId="12" xfId="0" applyNumberFormat="1" applyFont="1" applyBorder="1" applyAlignment="1">
      <alignment horizontal="right" vertical="center"/>
    </xf>
    <xf numFmtId="3" fontId="31" fillId="0" borderId="7" xfId="0" applyNumberFormat="1" applyFont="1" applyBorder="1" applyAlignment="1">
      <alignment horizontal="right" vertical="center"/>
    </xf>
    <xf numFmtId="3" fontId="31" fillId="0" borderId="5" xfId="0" applyNumberFormat="1" applyFont="1" applyBorder="1" applyAlignment="1">
      <alignment horizontal="right" vertical="center"/>
    </xf>
    <xf numFmtId="3" fontId="31" fillId="11" borderId="7" xfId="0" applyNumberFormat="1" applyFont="1" applyFill="1" applyBorder="1" applyAlignment="1">
      <alignment horizontal="right" vertical="center"/>
    </xf>
    <xf numFmtId="3" fontId="31" fillId="11" borderId="5" xfId="0" applyNumberFormat="1" applyFont="1" applyFill="1" applyBorder="1" applyAlignment="1">
      <alignment horizontal="right" vertical="center"/>
    </xf>
    <xf numFmtId="166" fontId="31" fillId="4" borderId="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31" fillId="11" borderId="7" xfId="0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right" vertical="center"/>
    </xf>
    <xf numFmtId="0" fontId="36" fillId="0" borderId="1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3" fontId="32" fillId="0" borderId="0" xfId="0" applyNumberFormat="1" applyFont="1" applyBorder="1" applyAlignment="1">
      <alignment horizontal="right" vertical="center"/>
    </xf>
    <xf numFmtId="166" fontId="31" fillId="4" borderId="27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1" fillId="0" borderId="0" xfId="0" applyFont="1" applyFill="1" applyBorder="1"/>
    <xf numFmtId="3" fontId="31" fillId="0" borderId="0" xfId="0" applyNumberFormat="1" applyFont="1" applyFill="1" applyBorder="1" applyAlignment="1">
      <alignment horizontal="right" vertical="center"/>
    </xf>
    <xf numFmtId="0" fontId="31" fillId="0" borderId="0" xfId="0" applyFont="1"/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Border="1" applyAlignment="1">
      <alignment horizontal="right" vertical="center"/>
    </xf>
    <xf numFmtId="3" fontId="32" fillId="0" borderId="7" xfId="0" applyNumberFormat="1" applyFont="1" applyFill="1" applyBorder="1" applyAlignment="1">
      <alignment horizontal="right" vertical="center"/>
    </xf>
    <xf numFmtId="3" fontId="32" fillId="0" borderId="7" xfId="0" applyNumberFormat="1" applyFont="1" applyFill="1" applyBorder="1" applyAlignment="1">
      <alignment horizontal="right" vertical="center" wrapText="1"/>
    </xf>
    <xf numFmtId="3" fontId="32" fillId="0" borderId="12" xfId="0" applyNumberFormat="1" applyFont="1" applyFill="1" applyBorder="1" applyAlignment="1">
      <alignment horizontal="right" vertical="center" wrapText="1"/>
    </xf>
    <xf numFmtId="0" fontId="31" fillId="0" borderId="5" xfId="0" applyFont="1" applyBorder="1"/>
    <xf numFmtId="0" fontId="32" fillId="0" borderId="5" xfId="4" applyFont="1" applyBorder="1" applyAlignment="1">
      <alignment horizontal="left" vertical="center"/>
    </xf>
    <xf numFmtId="0" fontId="32" fillId="0" borderId="5" xfId="4" applyFont="1" applyBorder="1" applyAlignment="1">
      <alignment horizontal="left" vertical="center" wrapText="1"/>
    </xf>
    <xf numFmtId="3" fontId="31" fillId="4" borderId="7" xfId="0" applyNumberFormat="1" applyFont="1" applyFill="1" applyBorder="1" applyAlignment="1">
      <alignment horizontal="right" vertical="center"/>
    </xf>
    <xf numFmtId="3" fontId="24" fillId="0" borderId="7" xfId="0" applyNumberFormat="1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7" xfId="0" applyNumberFormat="1" applyFont="1" applyFill="1" applyBorder="1" applyAlignment="1">
      <alignment horizontal="right" vertical="center"/>
    </xf>
    <xf numFmtId="0" fontId="28" fillId="0" borderId="5" xfId="0" applyFont="1" applyBorder="1" applyAlignment="1">
      <alignment vertical="center"/>
    </xf>
    <xf numFmtId="3" fontId="28" fillId="2" borderId="7" xfId="0" applyNumberFormat="1" applyFont="1" applyFill="1" applyBorder="1" applyAlignment="1">
      <alignment horizontal="right" vertical="center" wrapText="1"/>
    </xf>
    <xf numFmtId="3" fontId="28" fillId="10" borderId="7" xfId="0" applyNumberFormat="1" applyFont="1" applyFill="1" applyBorder="1" applyAlignment="1">
      <alignment horizontal="right" vertical="center"/>
    </xf>
    <xf numFmtId="3" fontId="28" fillId="10" borderId="5" xfId="0" applyNumberFormat="1" applyFont="1" applyFill="1" applyBorder="1" applyAlignment="1">
      <alignment horizontal="right" vertical="center"/>
    </xf>
    <xf numFmtId="3" fontId="28" fillId="2" borderId="7" xfId="0" applyNumberFormat="1" applyFont="1" applyFill="1" applyBorder="1" applyAlignment="1">
      <alignment horizontal="right" vertical="center"/>
    </xf>
    <xf numFmtId="3" fontId="28" fillId="2" borderId="12" xfId="0" applyNumberFormat="1" applyFont="1" applyFill="1" applyBorder="1" applyAlignment="1">
      <alignment horizontal="right" vertical="center"/>
    </xf>
    <xf numFmtId="166" fontId="28" fillId="4" borderId="7" xfId="0" applyNumberFormat="1" applyFont="1" applyFill="1" applyBorder="1" applyAlignment="1">
      <alignment horizontal="right" vertical="center"/>
    </xf>
    <xf numFmtId="0" fontId="28" fillId="0" borderId="0" xfId="0" applyFont="1" applyFill="1"/>
    <xf numFmtId="0" fontId="28" fillId="0" borderId="0" xfId="0" applyFont="1"/>
    <xf numFmtId="0" fontId="29" fillId="2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24" fillId="0" borderId="0" xfId="0" applyFont="1" applyBorder="1"/>
    <xf numFmtId="0" fontId="24" fillId="0" borderId="85" xfId="0" applyFont="1" applyBorder="1"/>
    <xf numFmtId="0" fontId="32" fillId="0" borderId="6" xfId="0" applyFont="1" applyBorder="1"/>
    <xf numFmtId="0" fontId="24" fillId="0" borderId="51" xfId="0" applyFont="1" applyBorder="1"/>
    <xf numFmtId="0" fontId="32" fillId="0" borderId="7" xfId="0" applyFont="1" applyBorder="1"/>
    <xf numFmtId="0" fontId="32" fillId="0" borderId="7" xfId="0" applyFont="1" applyFill="1" applyBorder="1"/>
    <xf numFmtId="0" fontId="34" fillId="0" borderId="7" xfId="0" applyFont="1" applyFill="1" applyBorder="1" applyAlignment="1">
      <alignment vertical="center" wrapText="1"/>
    </xf>
    <xf numFmtId="3" fontId="32" fillId="3" borderId="7" xfId="0" applyNumberFormat="1" applyFont="1" applyFill="1" applyBorder="1" applyAlignment="1">
      <alignment horizontal="right" vertical="center"/>
    </xf>
    <xf numFmtId="0" fontId="31" fillId="0" borderId="7" xfId="0" applyFont="1" applyFill="1" applyBorder="1"/>
    <xf numFmtId="0" fontId="31" fillId="0" borderId="7" xfId="0" applyFont="1" applyBorder="1"/>
    <xf numFmtId="0" fontId="32" fillId="0" borderId="1" xfId="0" applyFont="1" applyBorder="1"/>
    <xf numFmtId="0" fontId="32" fillId="0" borderId="7" xfId="4" applyFont="1" applyBorder="1" applyAlignment="1">
      <alignment horizontal="left" vertical="center" wrapText="1"/>
    </xf>
    <xf numFmtId="3" fontId="31" fillId="0" borderId="1" xfId="0" applyNumberFormat="1" applyFont="1" applyBorder="1" applyAlignment="1">
      <alignment horizontal="right" vertical="center"/>
    </xf>
    <xf numFmtId="0" fontId="28" fillId="0" borderId="7" xfId="0" applyFont="1" applyBorder="1" applyAlignment="1">
      <alignment vertical="center"/>
    </xf>
    <xf numFmtId="2" fontId="38" fillId="9" borderId="7" xfId="1" applyNumberFormat="1" applyFont="1" applyFill="1" applyBorder="1" applyAlignment="1">
      <alignment horizontal="center" vertical="center" wrapText="1"/>
    </xf>
    <xf numFmtId="4" fontId="24" fillId="0" borderId="0" xfId="0" applyNumberFormat="1" applyFont="1"/>
    <xf numFmtId="0" fontId="26" fillId="0" borderId="0" xfId="0" applyFont="1" applyBorder="1"/>
    <xf numFmtId="0" fontId="24" fillId="0" borderId="0" xfId="0" applyFont="1" applyFill="1" applyBorder="1"/>
    <xf numFmtId="0" fontId="23" fillId="0" borderId="0" xfId="0" applyFont="1" applyBorder="1"/>
    <xf numFmtId="0" fontId="24" fillId="0" borderId="50" xfId="5" applyFont="1" applyBorder="1"/>
    <xf numFmtId="0" fontId="23" fillId="0" borderId="46" xfId="5" applyFont="1" applyBorder="1"/>
    <xf numFmtId="0" fontId="23" fillId="0" borderId="46" xfId="5" applyFont="1" applyBorder="1" applyAlignment="1">
      <alignment horizontal="center"/>
    </xf>
    <xf numFmtId="0" fontId="23" fillId="0" borderId="22" xfId="5" applyFont="1" applyBorder="1" applyAlignment="1">
      <alignment horizontal="center"/>
    </xf>
    <xf numFmtId="0" fontId="23" fillId="0" borderId="73" xfId="5" applyFont="1" applyBorder="1" applyAlignment="1">
      <alignment horizontal="center"/>
    </xf>
    <xf numFmtId="0" fontId="24" fillId="0" borderId="0" xfId="5" applyFont="1"/>
    <xf numFmtId="0" fontId="24" fillId="0" borderId="49" xfId="5" applyFont="1" applyBorder="1"/>
    <xf numFmtId="3" fontId="24" fillId="0" borderId="35" xfId="5" applyNumberFormat="1" applyFont="1" applyBorder="1" applyAlignment="1">
      <alignment horizontal="center"/>
    </xf>
    <xf numFmtId="3" fontId="24" fillId="0" borderId="35" xfId="5" applyNumberFormat="1" applyFont="1" applyBorder="1" applyAlignment="1">
      <alignment horizontal="center" vertical="top"/>
    </xf>
    <xf numFmtId="3" fontId="24" fillId="0" borderId="35" xfId="5" applyNumberFormat="1" applyFont="1" applyFill="1" applyBorder="1" applyAlignment="1">
      <alignment horizontal="center" vertical="top"/>
    </xf>
    <xf numFmtId="3" fontId="24" fillId="0" borderId="54" xfId="5" applyNumberFormat="1" applyFont="1" applyBorder="1" applyAlignment="1">
      <alignment horizontal="center"/>
    </xf>
    <xf numFmtId="3" fontId="24" fillId="0" borderId="28" xfId="5" applyNumberFormat="1" applyFont="1" applyBorder="1" applyAlignment="1">
      <alignment horizontal="center"/>
    </xf>
    <xf numFmtId="0" fontId="24" fillId="0" borderId="0" xfId="5" applyFont="1" applyBorder="1"/>
    <xf numFmtId="3" fontId="24" fillId="0" borderId="0" xfId="5" applyNumberFormat="1" applyFont="1" applyBorder="1"/>
    <xf numFmtId="3" fontId="24" fillId="0" borderId="0" xfId="5" applyNumberFormat="1" applyFont="1" applyBorder="1" applyAlignment="1">
      <alignment horizontal="center" vertical="top"/>
    </xf>
    <xf numFmtId="3" fontId="24" fillId="0" borderId="0" xfId="5" applyNumberFormat="1" applyFont="1" applyFill="1" applyBorder="1" applyAlignment="1">
      <alignment horizontal="center" vertical="top"/>
    </xf>
    <xf numFmtId="3" fontId="24" fillId="0" borderId="0" xfId="5" applyNumberFormat="1" applyFont="1" applyBorder="1" applyAlignment="1">
      <alignment horizontal="center" vertical="center"/>
    </xf>
    <xf numFmtId="0" fontId="24" fillId="0" borderId="0" xfId="5" applyFont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39" fillId="0" borderId="0" xfId="5" applyFont="1"/>
    <xf numFmtId="0" fontId="39" fillId="0" borderId="7" xfId="5" applyFont="1" applyBorder="1"/>
    <xf numFmtId="0" fontId="40" fillId="0" borderId="44" xfId="5" applyFont="1" applyBorder="1" applyAlignment="1"/>
    <xf numFmtId="0" fontId="40" fillId="0" borderId="12" xfId="5" applyFont="1" applyBorder="1" applyAlignment="1"/>
    <xf numFmtId="0" fontId="39" fillId="0" borderId="16" xfId="5" applyFont="1" applyBorder="1"/>
    <xf numFmtId="3" fontId="39" fillId="0" borderId="46" xfId="5" applyNumberFormat="1" applyFont="1" applyBorder="1" applyAlignment="1"/>
    <xf numFmtId="3" fontId="39" fillId="0" borderId="32" xfId="5" applyNumberFormat="1" applyFont="1" applyBorder="1" applyAlignment="1"/>
    <xf numFmtId="0" fontId="39" fillId="0" borderId="14" xfId="5" applyFont="1" applyBorder="1"/>
    <xf numFmtId="3" fontId="39" fillId="0" borderId="45" xfId="5" applyNumberFormat="1" applyFont="1" applyBorder="1" applyAlignment="1"/>
    <xf numFmtId="3" fontId="39" fillId="0" borderId="36" xfId="5" applyNumberFormat="1" applyFont="1" applyBorder="1" applyAlignment="1"/>
    <xf numFmtId="3" fontId="39" fillId="0" borderId="53" xfId="5" applyNumberFormat="1" applyFont="1" applyBorder="1" applyAlignment="1"/>
    <xf numFmtId="0" fontId="39" fillId="0" borderId="18" xfId="5" applyFont="1" applyBorder="1"/>
    <xf numFmtId="3" fontId="39" fillId="0" borderId="35" xfId="5" applyNumberFormat="1" applyFont="1" applyBorder="1" applyAlignment="1"/>
    <xf numFmtId="3" fontId="39" fillId="0" borderId="40" xfId="5" applyNumberFormat="1" applyFont="1" applyBorder="1" applyAlignment="1"/>
    <xf numFmtId="3" fontId="40" fillId="0" borderId="51" xfId="5" applyNumberFormat="1" applyFont="1" applyBorder="1" applyAlignment="1">
      <alignment horizontal="right"/>
    </xf>
    <xf numFmtId="3" fontId="40" fillId="0" borderId="28" xfId="5" applyNumberFormat="1" applyFont="1" applyBorder="1" applyAlignment="1">
      <alignment horizontal="right"/>
    </xf>
    <xf numFmtId="3" fontId="39" fillId="0" borderId="0" xfId="5" applyNumberFormat="1" applyFont="1"/>
    <xf numFmtId="0" fontId="40" fillId="0" borderId="0" xfId="5" applyFont="1" applyAlignment="1">
      <alignment horizontal="center"/>
    </xf>
    <xf numFmtId="0" fontId="39" fillId="0" borderId="0" xfId="5" applyFont="1" applyBorder="1"/>
    <xf numFmtId="0" fontId="40" fillId="0" borderId="7" xfId="5" applyFont="1" applyBorder="1"/>
    <xf numFmtId="0" fontId="40" fillId="0" borderId="52" xfId="5" applyFont="1" applyBorder="1" applyAlignment="1">
      <alignment horizontal="center"/>
    </xf>
    <xf numFmtId="0" fontId="40" fillId="0" borderId="42" xfId="5" applyFont="1" applyBorder="1" applyAlignment="1">
      <alignment horizontal="center"/>
    </xf>
    <xf numFmtId="49" fontId="39" fillId="0" borderId="16" xfId="5" applyNumberFormat="1" applyFont="1" applyBorder="1" applyAlignment="1">
      <alignment horizontal="left"/>
    </xf>
    <xf numFmtId="3" fontId="39" fillId="0" borderId="46" xfId="5" applyNumberFormat="1" applyFont="1" applyBorder="1"/>
    <xf numFmtId="3" fontId="39" fillId="0" borderId="22" xfId="5" applyNumberFormat="1" applyFont="1" applyBorder="1"/>
    <xf numFmtId="0" fontId="39" fillId="0" borderId="20" xfId="5" applyFont="1" applyBorder="1"/>
    <xf numFmtId="0" fontId="39" fillId="0" borderId="14" xfId="5" applyFont="1" applyBorder="1" applyAlignment="1">
      <alignment vertical="top"/>
    </xf>
    <xf numFmtId="3" fontId="39" fillId="0" borderId="45" xfId="5" applyNumberFormat="1" applyFont="1" applyBorder="1"/>
    <xf numFmtId="3" fontId="39" fillId="0" borderId="36" xfId="5" applyNumberFormat="1" applyFont="1" applyBorder="1"/>
    <xf numFmtId="0" fontId="39" fillId="0" borderId="39" xfId="5" applyFont="1" applyBorder="1" applyAlignment="1">
      <alignment vertical="top"/>
    </xf>
    <xf numFmtId="0" fontId="39" fillId="0" borderId="35" xfId="5" applyFont="1" applyBorder="1"/>
    <xf numFmtId="0" fontId="39" fillId="0" borderId="40" xfId="5" applyFont="1" applyBorder="1"/>
    <xf numFmtId="0" fontId="39" fillId="0" borderId="0" xfId="5" applyFont="1" applyBorder="1" applyAlignment="1">
      <alignment vertical="top"/>
    </xf>
    <xf numFmtId="0" fontId="39" fillId="0" borderId="0" xfId="3" applyNumberFormat="1" applyFont="1"/>
    <xf numFmtId="0" fontId="39" fillId="0" borderId="43" xfId="5" applyFont="1" applyBorder="1"/>
    <xf numFmtId="0" fontId="40" fillId="0" borderId="44" xfId="5" applyFont="1" applyBorder="1" applyAlignment="1">
      <alignment horizontal="center"/>
    </xf>
    <xf numFmtId="0" fontId="40" fillId="0" borderId="41" xfId="5" applyFont="1" applyBorder="1" applyAlignment="1">
      <alignment horizontal="center"/>
    </xf>
    <xf numFmtId="3" fontId="39" fillId="0" borderId="44" xfId="5" applyNumberFormat="1" applyFont="1" applyBorder="1" applyAlignment="1">
      <alignment horizontal="center"/>
    </xf>
    <xf numFmtId="3" fontId="39" fillId="0" borderId="44" xfId="5" applyNumberFormat="1" applyFont="1" applyBorder="1" applyAlignment="1">
      <alignment horizontal="center" vertical="top"/>
    </xf>
    <xf numFmtId="3" fontId="39" fillId="0" borderId="44" xfId="5" applyNumberFormat="1" applyFont="1" applyFill="1" applyBorder="1" applyAlignment="1">
      <alignment horizontal="center" vertical="top"/>
    </xf>
    <xf numFmtId="3" fontId="39" fillId="0" borderId="41" xfId="5" applyNumberFormat="1" applyFont="1" applyBorder="1" applyAlignment="1">
      <alignment horizontal="center"/>
    </xf>
    <xf numFmtId="3" fontId="39" fillId="0" borderId="28" xfId="5" applyNumberFormat="1" applyFont="1" applyBorder="1" applyAlignment="1">
      <alignment horizontal="center"/>
    </xf>
    <xf numFmtId="3" fontId="39" fillId="0" borderId="0" xfId="5" applyNumberFormat="1" applyFont="1" applyBorder="1"/>
    <xf numFmtId="3" fontId="39" fillId="0" borderId="0" xfId="5" applyNumberFormat="1" applyFont="1" applyBorder="1" applyAlignment="1">
      <alignment horizontal="center" vertical="top"/>
    </xf>
    <xf numFmtId="3" fontId="39" fillId="0" borderId="0" xfId="5" applyNumberFormat="1" applyFont="1" applyFill="1" applyBorder="1" applyAlignment="1">
      <alignment horizontal="center" vertical="top"/>
    </xf>
    <xf numFmtId="3" fontId="39" fillId="0" borderId="0" xfId="5" applyNumberFormat="1" applyFont="1" applyBorder="1" applyAlignment="1">
      <alignment horizontal="center" vertical="center"/>
    </xf>
    <xf numFmtId="0" fontId="39" fillId="0" borderId="0" xfId="5" applyFont="1" applyBorder="1" applyAlignment="1">
      <alignment horizontal="center" vertical="center"/>
    </xf>
    <xf numFmtId="0" fontId="39" fillId="0" borderId="0" xfId="5" applyFont="1" applyFill="1" applyBorder="1" applyAlignment="1">
      <alignment horizontal="center" vertical="center"/>
    </xf>
    <xf numFmtId="3" fontId="39" fillId="0" borderId="35" xfId="5" applyNumberFormat="1" applyFont="1" applyBorder="1"/>
    <xf numFmtId="3" fontId="40" fillId="0" borderId="44" xfId="5" applyNumberFormat="1" applyFont="1" applyBorder="1"/>
    <xf numFmtId="3" fontId="40" fillId="0" borderId="42" xfId="5" applyNumberFormat="1" applyFont="1" applyBorder="1"/>
    <xf numFmtId="0" fontId="24" fillId="14" borderId="3" xfId="1" applyFont="1" applyFill="1" applyBorder="1" applyAlignment="1">
      <alignment vertical="center"/>
    </xf>
    <xf numFmtId="2" fontId="25" fillId="14" borderId="14" xfId="1" applyNumberFormat="1" applyFont="1" applyFill="1" applyBorder="1" applyAlignment="1">
      <alignment horizontal="right" vertical="center"/>
    </xf>
    <xf numFmtId="4" fontId="24" fillId="14" borderId="45" xfId="1" applyNumberFormat="1" applyFont="1" applyFill="1" applyBorder="1" applyAlignment="1">
      <alignment horizontal="right" vertical="center"/>
    </xf>
    <xf numFmtId="2" fontId="24" fillId="14" borderId="45" xfId="0" applyNumberFormat="1" applyFont="1" applyFill="1" applyBorder="1" applyAlignment="1">
      <alignment horizontal="right" vertical="center"/>
    </xf>
    <xf numFmtId="4" fontId="24" fillId="14" borderId="21" xfId="1" applyNumberFormat="1" applyFont="1" applyFill="1" applyBorder="1" applyAlignment="1">
      <alignment horizontal="right" vertical="center"/>
    </xf>
    <xf numFmtId="2" fontId="24" fillId="14" borderId="36" xfId="0" applyNumberFormat="1" applyFont="1" applyFill="1" applyBorder="1" applyAlignment="1">
      <alignment horizontal="right" vertical="center"/>
    </xf>
    <xf numFmtId="0" fontId="24" fillId="13" borderId="3" xfId="1" applyFont="1" applyFill="1" applyBorder="1" applyAlignment="1">
      <alignment vertical="center"/>
    </xf>
    <xf numFmtId="4" fontId="24" fillId="13" borderId="21" xfId="1" applyNumberFormat="1" applyFont="1" applyFill="1" applyBorder="1" applyAlignment="1">
      <alignment horizontal="right" vertical="center"/>
    </xf>
    <xf numFmtId="0" fontId="40" fillId="0" borderId="45" xfId="5" applyFont="1" applyBorder="1"/>
    <xf numFmtId="0" fontId="40" fillId="0" borderId="45" xfId="5" applyFont="1" applyBorder="1" applyAlignment="1">
      <alignment horizontal="center" vertical="center"/>
    </xf>
    <xf numFmtId="0" fontId="39" fillId="0" borderId="45" xfId="5" applyFont="1" applyBorder="1"/>
    <xf numFmtId="0" fontId="40" fillId="0" borderId="44" xfId="5" applyFont="1" applyBorder="1"/>
    <xf numFmtId="0" fontId="40" fillId="0" borderId="52" xfId="5" applyFont="1" applyBorder="1"/>
    <xf numFmtId="0" fontId="40" fillId="0" borderId="42" xfId="5" applyFont="1" applyBorder="1" applyAlignment="1">
      <alignment horizontal="right"/>
    </xf>
    <xf numFmtId="49" fontId="39" fillId="0" borderId="36" xfId="5" applyNumberFormat="1" applyFont="1" applyBorder="1" applyAlignment="1">
      <alignment horizontal="left"/>
    </xf>
    <xf numFmtId="3" fontId="39" fillId="0" borderId="21" xfId="5" applyNumberFormat="1" applyFont="1" applyBorder="1"/>
    <xf numFmtId="0" fontId="39" fillId="0" borderId="36" xfId="5" applyFont="1" applyBorder="1" applyAlignment="1">
      <alignment vertical="top"/>
    </xf>
    <xf numFmtId="3" fontId="39" fillId="0" borderId="75" xfId="5" applyNumberFormat="1" applyFont="1" applyBorder="1"/>
    <xf numFmtId="3" fontId="39" fillId="0" borderId="54" xfId="5" applyNumberFormat="1" applyFont="1" applyBorder="1"/>
    <xf numFmtId="3" fontId="39" fillId="0" borderId="40" xfId="5" applyNumberFormat="1" applyFont="1" applyBorder="1"/>
    <xf numFmtId="0" fontId="41" fillId="0" borderId="13" xfId="1" applyFont="1" applyFill="1" applyBorder="1" applyAlignment="1">
      <alignment vertical="center" wrapText="1"/>
    </xf>
    <xf numFmtId="0" fontId="41" fillId="0" borderId="1" xfId="1" applyFont="1" applyFill="1" applyBorder="1" applyAlignment="1">
      <alignment horizontal="right" vertical="center" wrapText="1"/>
    </xf>
    <xf numFmtId="0" fontId="39" fillId="0" borderId="0" xfId="0" applyFont="1"/>
    <xf numFmtId="0" fontId="41" fillId="0" borderId="27" xfId="1" applyFont="1" applyFill="1" applyBorder="1" applyAlignment="1">
      <alignment vertical="center" wrapText="1"/>
    </xf>
    <xf numFmtId="0" fontId="41" fillId="9" borderId="44" xfId="1" applyFont="1" applyFill="1" applyBorder="1" applyAlignment="1">
      <alignment horizontal="center" vertical="center" wrapText="1"/>
    </xf>
    <xf numFmtId="0" fontId="41" fillId="0" borderId="44" xfId="1" applyFont="1" applyFill="1" applyBorder="1" applyAlignment="1">
      <alignment horizontal="right" vertical="center" wrapText="1"/>
    </xf>
    <xf numFmtId="0" fontId="41" fillId="0" borderId="52" xfId="1" applyFont="1" applyFill="1" applyBorder="1" applyAlignment="1">
      <alignment horizontal="right" vertical="center" wrapText="1"/>
    </xf>
    <xf numFmtId="0" fontId="41" fillId="0" borderId="42" xfId="1" applyFont="1" applyFill="1" applyBorder="1" applyAlignment="1">
      <alignment horizontal="right" vertical="center" wrapText="1"/>
    </xf>
    <xf numFmtId="0" fontId="41" fillId="0" borderId="41" xfId="1" applyFont="1" applyFill="1" applyBorder="1" applyAlignment="1">
      <alignment horizontal="right" vertical="center" wrapText="1" shrinkToFit="1"/>
    </xf>
    <xf numFmtId="167" fontId="41" fillId="9" borderId="41" xfId="1" applyNumberFormat="1" applyFont="1" applyFill="1" applyBorder="1" applyAlignment="1">
      <alignment horizontal="right" vertical="center" wrapText="1" shrinkToFit="1"/>
    </xf>
    <xf numFmtId="167" fontId="41" fillId="0" borderId="41" xfId="1" applyNumberFormat="1" applyFont="1" applyFill="1" applyBorder="1" applyAlignment="1">
      <alignment horizontal="right" vertical="center" wrapText="1" shrinkToFit="1"/>
    </xf>
    <xf numFmtId="167" fontId="41" fillId="0" borderId="42" xfId="1" applyNumberFormat="1" applyFont="1" applyFill="1" applyBorder="1" applyAlignment="1">
      <alignment horizontal="right" vertical="center" wrapText="1" shrinkToFit="1"/>
    </xf>
    <xf numFmtId="0" fontId="39" fillId="0" borderId="6" xfId="5" applyFont="1" applyBorder="1"/>
    <xf numFmtId="0" fontId="39" fillId="0" borderId="50" xfId="5" applyFont="1" applyBorder="1"/>
    <xf numFmtId="0" fontId="40" fillId="0" borderId="46" xfId="5" applyFont="1" applyBorder="1" applyAlignment="1">
      <alignment horizontal="center"/>
    </xf>
    <xf numFmtId="0" fontId="40" fillId="0" borderId="22" xfId="5" applyFont="1" applyBorder="1" applyAlignment="1">
      <alignment horizontal="center"/>
    </xf>
    <xf numFmtId="0" fontId="40" fillId="0" borderId="32" xfId="5" applyFont="1" applyBorder="1" applyAlignment="1">
      <alignment horizontal="center"/>
    </xf>
    <xf numFmtId="0" fontId="39" fillId="0" borderId="49" xfId="5" applyFont="1" applyBorder="1"/>
    <xf numFmtId="3" fontId="39" fillId="0" borderId="35" xfId="5" applyNumberFormat="1" applyFont="1" applyBorder="1" applyAlignment="1">
      <alignment horizontal="center"/>
    </xf>
    <xf numFmtId="3" fontId="39" fillId="0" borderId="54" xfId="5" applyNumberFormat="1" applyFont="1" applyBorder="1" applyAlignment="1">
      <alignment horizontal="center"/>
    </xf>
    <xf numFmtId="3" fontId="39" fillId="0" borderId="55" xfId="5" applyNumberFormat="1" applyFont="1" applyBorder="1" applyAlignment="1">
      <alignment horizontal="center"/>
    </xf>
    <xf numFmtId="3" fontId="39" fillId="0" borderId="40" xfId="5" applyNumberFormat="1" applyFont="1" applyBorder="1" applyAlignment="1">
      <alignment horizontal="center"/>
    </xf>
    <xf numFmtId="0" fontId="40" fillId="0" borderId="44" xfId="5" applyFont="1" applyBorder="1" applyAlignment="1">
      <alignment horizontal="right"/>
    </xf>
    <xf numFmtId="3" fontId="39" fillId="0" borderId="47" xfId="5" applyNumberFormat="1" applyFont="1" applyBorder="1" applyAlignment="1">
      <alignment horizontal="right"/>
    </xf>
    <xf numFmtId="3" fontId="39" fillId="0" borderId="53" xfId="5" applyNumberFormat="1" applyFont="1" applyBorder="1" applyAlignment="1">
      <alignment horizontal="right"/>
    </xf>
    <xf numFmtId="3" fontId="39" fillId="0" borderId="45" xfId="5" applyNumberFormat="1" applyFont="1" applyBorder="1" applyAlignment="1">
      <alignment horizontal="right"/>
    </xf>
    <xf numFmtId="3" fontId="39" fillId="0" borderId="36" xfId="5" applyNumberFormat="1" applyFont="1" applyBorder="1" applyAlignment="1">
      <alignment horizontal="right"/>
    </xf>
    <xf numFmtId="3" fontId="39" fillId="0" borderId="48" xfId="5" applyNumberFormat="1" applyFont="1" applyBorder="1" applyAlignment="1">
      <alignment horizontal="right"/>
    </xf>
    <xf numFmtId="3" fontId="39" fillId="0" borderId="38" xfId="5" applyNumberFormat="1" applyFont="1" applyBorder="1" applyAlignment="1">
      <alignment horizontal="right"/>
    </xf>
    <xf numFmtId="3" fontId="40" fillId="0" borderId="44" xfId="5" applyNumberFormat="1" applyFont="1" applyBorder="1" applyAlignment="1">
      <alignment horizontal="right"/>
    </xf>
    <xf numFmtId="3" fontId="40" fillId="0" borderId="42" xfId="5" applyNumberFormat="1" applyFont="1" applyBorder="1" applyAlignment="1">
      <alignment horizontal="right"/>
    </xf>
    <xf numFmtId="0" fontId="41" fillId="0" borderId="44" xfId="1" applyFont="1" applyFill="1" applyBorder="1" applyAlignment="1">
      <alignment horizontal="center" vertical="center" wrapText="1"/>
    </xf>
    <xf numFmtId="0" fontId="41" fillId="0" borderId="52" xfId="1" applyFont="1" applyFill="1" applyBorder="1" applyAlignment="1">
      <alignment horizontal="center" vertical="center" wrapText="1"/>
    </xf>
    <xf numFmtId="0" fontId="41" fillId="0" borderId="42" xfId="1" applyFont="1" applyFill="1" applyBorder="1" applyAlignment="1">
      <alignment horizontal="center" vertical="center" wrapText="1"/>
    </xf>
    <xf numFmtId="0" fontId="41" fillId="0" borderId="41" xfId="1" applyFont="1" applyFill="1" applyBorder="1" applyAlignment="1">
      <alignment horizontal="left" vertical="center" wrapText="1" shrinkToFit="1"/>
    </xf>
    <xf numFmtId="0" fontId="41" fillId="0" borderId="33" xfId="1" applyFont="1" applyFill="1" applyBorder="1" applyAlignment="1">
      <alignment vertical="center" wrapText="1"/>
    </xf>
    <xf numFmtId="0" fontId="41" fillId="0" borderId="43" xfId="1" applyFont="1" applyFill="1" applyBorder="1" applyAlignment="1">
      <alignment horizontal="center" vertical="center" wrapText="1"/>
    </xf>
    <xf numFmtId="0" fontId="41" fillId="0" borderId="26" xfId="1" applyFont="1" applyFill="1" applyBorder="1" applyAlignment="1">
      <alignment horizontal="left" vertical="center" wrapText="1" shrinkToFit="1"/>
    </xf>
    <xf numFmtId="167" fontId="41" fillId="0" borderId="43" xfId="1" applyNumberFormat="1" applyFont="1" applyFill="1" applyBorder="1" applyAlignment="1">
      <alignment horizontal="right" vertical="center" wrapText="1" shrinkToFit="1"/>
    </xf>
    <xf numFmtId="0" fontId="41" fillId="0" borderId="17" xfId="1" applyFont="1" applyFill="1" applyBorder="1" applyAlignment="1">
      <alignment vertical="center" wrapText="1"/>
    </xf>
    <xf numFmtId="0" fontId="41" fillId="9" borderId="44" xfId="1" applyFont="1" applyFill="1" applyBorder="1" applyAlignment="1">
      <alignment horizontal="right" vertical="center" wrapText="1"/>
    </xf>
    <xf numFmtId="167" fontId="41" fillId="9" borderId="43" xfId="1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horizontal="right"/>
    </xf>
    <xf numFmtId="0" fontId="40" fillId="0" borderId="12" xfId="5" applyFont="1" applyBorder="1" applyAlignment="1">
      <alignment horizontal="center" wrapText="1"/>
    </xf>
    <xf numFmtId="0" fontId="39" fillId="0" borderId="16" xfId="5" applyFont="1" applyBorder="1" applyAlignment="1">
      <alignment vertical="top"/>
    </xf>
    <xf numFmtId="3" fontId="39" fillId="0" borderId="71" xfId="5" applyNumberFormat="1" applyFont="1" applyBorder="1" applyAlignment="1">
      <alignment horizontal="right" vertical="top"/>
    </xf>
    <xf numFmtId="3" fontId="39" fillId="0" borderId="69" xfId="5" applyNumberFormat="1" applyFont="1" applyBorder="1" applyAlignment="1">
      <alignment horizontal="right" vertical="top"/>
    </xf>
    <xf numFmtId="0" fontId="39" fillId="0" borderId="14" xfId="5" applyFont="1" applyBorder="1" applyAlignment="1">
      <alignment horizontal="left" vertical="center"/>
    </xf>
    <xf numFmtId="0" fontId="39" fillId="0" borderId="18" xfId="5" applyFont="1" applyBorder="1" applyAlignment="1">
      <alignment vertical="top"/>
    </xf>
    <xf numFmtId="3" fontId="39" fillId="0" borderId="70" xfId="5" applyNumberFormat="1" applyFont="1" applyBorder="1" applyAlignment="1">
      <alignment horizontal="right" vertical="top"/>
    </xf>
    <xf numFmtId="3" fontId="39" fillId="0" borderId="12" xfId="5" applyNumberFormat="1" applyFont="1" applyBorder="1" applyAlignment="1">
      <alignment horizontal="right"/>
    </xf>
    <xf numFmtId="0" fontId="24" fillId="13" borderId="14" xfId="1" applyFont="1" applyFill="1" applyBorder="1" applyAlignment="1">
      <alignment vertical="center" wrapText="1"/>
    </xf>
    <xf numFmtId="2" fontId="24" fillId="13" borderId="21" xfId="0" applyNumberFormat="1" applyFont="1" applyFill="1" applyBorder="1" applyAlignment="1">
      <alignment horizontal="right" vertical="center"/>
    </xf>
    <xf numFmtId="2" fontId="24" fillId="13" borderId="53" xfId="0" applyNumberFormat="1" applyFont="1" applyFill="1" applyBorder="1" applyAlignment="1">
      <alignment horizontal="right" vertical="center"/>
    </xf>
    <xf numFmtId="0" fontId="43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78" xfId="0" applyFont="1" applyFill="1" applyBorder="1" applyAlignment="1">
      <alignment horizontal="center" vertical="center" wrapText="1"/>
    </xf>
    <xf numFmtId="0" fontId="9" fillId="10" borderId="66" xfId="0" applyFont="1" applyFill="1" applyBorder="1" applyAlignment="1">
      <alignment horizontal="center" vertical="center" wrapText="1"/>
    </xf>
    <xf numFmtId="0" fontId="9" fillId="10" borderId="78" xfId="0" applyFont="1" applyFill="1" applyBorder="1" applyAlignment="1">
      <alignment horizontal="center" vertical="center" wrapText="1"/>
    </xf>
    <xf numFmtId="0" fontId="9" fillId="10" borderId="6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vertical="top"/>
    </xf>
    <xf numFmtId="0" fontId="5" fillId="0" borderId="29" xfId="0" applyFont="1" applyBorder="1" applyAlignment="1">
      <alignment horizontal="center"/>
    </xf>
    <xf numFmtId="0" fontId="6" fillId="6" borderId="21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/>
    </xf>
    <xf numFmtId="0" fontId="6" fillId="2" borderId="68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2" borderId="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82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72" xfId="0" applyFont="1" applyFill="1" applyBorder="1" applyAlignment="1">
      <alignment horizontal="center" vertical="center" wrapText="1"/>
    </xf>
    <xf numFmtId="0" fontId="29" fillId="3" borderId="28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 wrapText="1"/>
    </xf>
    <xf numFmtId="0" fontId="29" fillId="10" borderId="17" xfId="0" applyFont="1" applyFill="1" applyBorder="1" applyAlignment="1">
      <alignment horizontal="center" vertical="center" wrapText="1"/>
    </xf>
    <xf numFmtId="0" fontId="29" fillId="10" borderId="33" xfId="0" applyFont="1" applyFill="1" applyBorder="1" applyAlignment="1">
      <alignment horizontal="center" vertical="center" wrapText="1"/>
    </xf>
    <xf numFmtId="0" fontId="29" fillId="10" borderId="13" xfId="0" applyFont="1" applyFill="1" applyBorder="1" applyAlignment="1">
      <alignment horizontal="center" vertical="center" wrapText="1"/>
    </xf>
    <xf numFmtId="0" fontId="29" fillId="10" borderId="27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82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29" fillId="3" borderId="26" xfId="0" applyFont="1" applyFill="1" applyBorder="1" applyAlignment="1">
      <alignment horizontal="center" vertical="center" wrapText="1"/>
    </xf>
    <xf numFmtId="0" fontId="29" fillId="10" borderId="2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82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4" fillId="0" borderId="43" xfId="1" applyFont="1" applyFill="1" applyBorder="1" applyAlignment="1">
      <alignment horizontal="center" vertical="center" wrapText="1" shrinkToFit="1"/>
    </xf>
    <xf numFmtId="0" fontId="24" fillId="0" borderId="44" xfId="1" applyFont="1" applyFill="1" applyBorder="1" applyAlignment="1">
      <alignment horizontal="center" vertical="center" wrapText="1" shrinkToFit="1"/>
    </xf>
    <xf numFmtId="0" fontId="24" fillId="0" borderId="42" xfId="1" applyFont="1" applyFill="1" applyBorder="1" applyAlignment="1">
      <alignment horizontal="center" vertical="center" wrapText="1" shrinkToFit="1"/>
    </xf>
    <xf numFmtId="0" fontId="24" fillId="0" borderId="41" xfId="1" applyFont="1" applyFill="1" applyBorder="1" applyAlignment="1">
      <alignment horizontal="center" vertical="center" wrapText="1" shrinkToFit="1"/>
    </xf>
    <xf numFmtId="0" fontId="24" fillId="0" borderId="74" xfId="1" applyFont="1" applyFill="1" applyBorder="1" applyAlignment="1">
      <alignment horizontal="center" vertical="center" wrapText="1" shrinkToFit="1"/>
    </xf>
    <xf numFmtId="0" fontId="24" fillId="0" borderId="26" xfId="1" applyFont="1" applyFill="1" applyBorder="1" applyAlignment="1">
      <alignment horizontal="center" vertical="center" wrapText="1" shrinkToFit="1"/>
    </xf>
    <xf numFmtId="0" fontId="24" fillId="0" borderId="12" xfId="1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0" xfId="1" applyFont="1" applyFill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42" fillId="0" borderId="26" xfId="1" applyFont="1" applyFill="1" applyBorder="1" applyAlignment="1">
      <alignment horizontal="center" vertical="center" wrapText="1" shrinkToFit="1"/>
    </xf>
    <xf numFmtId="0" fontId="42" fillId="0" borderId="12" xfId="1" applyFont="1" applyFill="1" applyBorder="1" applyAlignment="1">
      <alignment horizontal="center" vertical="center" wrapText="1" shrinkToFit="1"/>
    </xf>
    <xf numFmtId="0" fontId="42" fillId="0" borderId="33" xfId="1" applyFont="1" applyFill="1" applyBorder="1" applyAlignment="1">
      <alignment horizontal="center" vertical="center" wrapText="1" shrinkToFit="1"/>
    </xf>
    <xf numFmtId="0" fontId="42" fillId="0" borderId="6" xfId="1" applyFont="1" applyFill="1" applyBorder="1" applyAlignment="1">
      <alignment horizontal="center" vertical="center" wrapText="1" shrinkToFit="1"/>
    </xf>
  </cellXfs>
  <cellStyles count="10">
    <cellStyle name="Akzent1" xfId="1" builtinId="29"/>
    <cellStyle name="Euro" xfId="2" xr:uid="{00000000-0005-0000-0000-000001000000}"/>
    <cellStyle name="Komma" xfId="3" builtinId="3"/>
    <cellStyle name="Standard" xfId="0" builtinId="0"/>
    <cellStyle name="Standard 2" xfId="4" xr:uid="{00000000-0005-0000-0000-000004000000}"/>
    <cellStyle name="Standard 2 2" xfId="8" xr:uid="{AB73175C-3F35-4E57-83E5-CBE1E49A4526}"/>
    <cellStyle name="Standard 2 3" xfId="7" xr:uid="{72927067-3F76-40A0-B068-FADFE73B2523}"/>
    <cellStyle name="Standard 3" xfId="5" xr:uid="{00000000-0005-0000-0000-000005000000}"/>
    <cellStyle name="Standard 4" xfId="6" xr:uid="{BC17D869-BCE6-49A8-93E3-5A55519D43DE}"/>
    <cellStyle name="Standard 5" xfId="9" xr:uid="{6C7FE3E2-6055-4A4B-A4D3-61646A22CCF6}"/>
  </cellStyles>
  <dxfs count="0"/>
  <tableStyles count="0" defaultTableStyle="TableStyleMedium2" defaultPivotStyle="PivotStyleLight16"/>
  <colors>
    <mruColors>
      <color rgb="FFFFFF99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sz="1050" b="1" i="0" baseline="0">
                <a:solidFill>
                  <a:sysClr val="windowText" lastClr="000000"/>
                </a:solidFill>
                <a:effectLst/>
              </a:rPr>
              <a:t>Anteil an Beißvorfällen mit erheblichen Verletzungen am Menschen in Bezug auf die Gesamtpopulation in 2024 und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'Stat%RelErhb-BM'!$B$2</c:f>
              <c:strCache>
                <c:ptCount val="1"/>
                <c:pt idx="0">
                  <c:v>Durchschnitt
in 10 Jahren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'Stat%RelErhb-BM'!$A$3:$A$6</c:f>
              <c:strCache>
                <c:ptCount val="4"/>
                <c:pt idx="0">
                  <c:v>Gefährliche Hunde
nach § 3 Abs. 2</c:v>
                </c:pt>
                <c:pt idx="1">
                  <c:v>Hunde bestimmter Rassen
nach § 10 Abs. 1</c:v>
                </c:pt>
                <c:pt idx="2">
                  <c:v>Große Hunde
nach § 11</c:v>
                </c:pt>
                <c:pt idx="3">
                  <c:v>Kleine Hunde</c:v>
                </c:pt>
              </c:strCache>
            </c:strRef>
          </c:cat>
          <c:val>
            <c:numRef>
              <c:f>'Stat%RelErhb-BM'!$B$3:$B$6</c:f>
            </c:numRef>
          </c:val>
          <c:extLst>
            <c:ext xmlns:c16="http://schemas.microsoft.com/office/drawing/2014/chart" uri="{C3380CC4-5D6E-409C-BE32-E72D297353CC}">
              <c16:uniqueId val="{00000000-A43C-4A16-ADE3-3BDFC0F41E8B}"/>
            </c:ext>
          </c:extLst>
        </c:ser>
        <c:ser>
          <c:idx val="1"/>
          <c:order val="1"/>
          <c:tx>
            <c:strRef>
              <c:f>'Stat%RelErhb-BM'!$C$2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'Stat%RelErhb-BM'!$A$3:$A$6</c:f>
              <c:strCache>
                <c:ptCount val="4"/>
                <c:pt idx="0">
                  <c:v>Gefährliche Hunde
nach § 3 Abs. 2</c:v>
                </c:pt>
                <c:pt idx="1">
                  <c:v>Hunde bestimmter Rassen
nach § 10 Abs. 1</c:v>
                </c:pt>
                <c:pt idx="2">
                  <c:v>Große Hunde
nach § 11</c:v>
                </c:pt>
                <c:pt idx="3">
                  <c:v>Kleine Hunde</c:v>
                </c:pt>
              </c:strCache>
            </c:strRef>
          </c:cat>
          <c:val>
            <c:numRef>
              <c:f>'Stat%RelErhb-BM'!$C$3:$C$6</c:f>
              <c:numCache>
                <c:formatCode>0.000</c:formatCode>
                <c:ptCount val="4"/>
                <c:pt idx="0">
                  <c:v>0.12959663048760731</c:v>
                </c:pt>
                <c:pt idx="1">
                  <c:v>0.17275419545903259</c:v>
                </c:pt>
                <c:pt idx="2">
                  <c:v>6.0446292410161494E-2</c:v>
                </c:pt>
                <c:pt idx="3">
                  <c:v>9.1238605542330563E-3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3C-4A16-ADE3-3BDFC0F41E8B}"/>
            </c:ext>
          </c:extLst>
        </c:ser>
        <c:ser>
          <c:idx val="2"/>
          <c:order val="2"/>
          <c:tx>
            <c:strRef>
              <c:f>'Stat%RelErhb-BM'!$D$2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'Stat%RelErhb-BM'!$A$3:$A$6</c:f>
              <c:strCache>
                <c:ptCount val="4"/>
                <c:pt idx="0">
                  <c:v>Gefährliche Hunde
nach § 3 Abs. 2</c:v>
                </c:pt>
                <c:pt idx="1">
                  <c:v>Hunde bestimmter Rassen
nach § 10 Abs. 1</c:v>
                </c:pt>
                <c:pt idx="2">
                  <c:v>Große Hunde
nach § 11</c:v>
                </c:pt>
                <c:pt idx="3">
                  <c:v>Kleine Hunde</c:v>
                </c:pt>
              </c:strCache>
            </c:strRef>
          </c:cat>
          <c:val>
            <c:numRef>
              <c:f>'Stat%RelErhb-BM'!$D$3:$D$6</c:f>
              <c:numCache>
                <c:formatCode>0.000</c:formatCode>
                <c:ptCount val="4"/>
                <c:pt idx="0">
                  <c:v>0.16969285593076533</c:v>
                </c:pt>
                <c:pt idx="1">
                  <c:v>0.1652472352866404</c:v>
                </c:pt>
                <c:pt idx="2">
                  <c:v>4.8546863251495632E-2</c:v>
                </c:pt>
                <c:pt idx="3">
                  <c:v>8.3591795321165448E-3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C-4A16-ADE3-3BDFC0F4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9747184"/>
        <c:axId val="859742264"/>
      </c:barChart>
      <c:catAx>
        <c:axId val="859747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859742264"/>
        <c:crosses val="autoZero"/>
        <c:auto val="1"/>
        <c:lblAlgn val="ctr"/>
        <c:lblOffset val="100"/>
        <c:noMultiLvlLbl val="0"/>
      </c:catAx>
      <c:valAx>
        <c:axId val="859742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859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DE" sz="1050"/>
              <a:t>Entwicklung der Anzahl der großen Hunde nach</a:t>
            </a:r>
          </a:p>
          <a:p>
            <a:pPr>
              <a:defRPr sz="1050"/>
            </a:pPr>
            <a:r>
              <a:rPr lang="de-DE" sz="1050"/>
              <a:t> § 11 Absatz 1 LHundG NRW in den letzten 10 Jahren</a:t>
            </a:r>
          </a:p>
        </c:rich>
      </c:tx>
      <c:layout>
        <c:manualLayout>
          <c:xMode val="edge"/>
          <c:yMode val="edge"/>
          <c:x val="0.26857804052096007"/>
          <c:y val="3.462483322747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2106037302341"/>
          <c:y val="0.16319499781289948"/>
          <c:w val="0.78836114617977393"/>
          <c:h val="0.64930775725557877"/>
        </c:manualLayout>
      </c:layout>
      <c:lineChart>
        <c:grouping val="stacked"/>
        <c:varyColors val="0"/>
        <c:ser>
          <c:idx val="0"/>
          <c:order val="0"/>
          <c:tx>
            <c:strRef>
              <c:f>'7Anz11'!$A$3</c:f>
              <c:strCache>
                <c:ptCount val="1"/>
                <c:pt idx="0">
                  <c:v>Anzahl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B2-489B-BE0D-403B3ADA7FD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B2-489B-BE0D-403B3ADA7FD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B2-489B-BE0D-403B3ADA7FD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2-489B-BE0D-403B3ADA7FD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B2-489B-BE0D-403B3ADA7FD8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B2-489B-BE0D-403B3ADA7FD8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B2-489B-BE0D-403B3ADA7FD8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B2-489B-BE0D-403B3ADA7FD8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B2-489B-BE0D-403B3ADA7FD8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B2-489B-BE0D-403B3ADA7FD8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'7Anz11'!$B$2:$K$2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'7Anz11'!$B$3:$K$3</c:f>
              <c:numCache>
                <c:formatCode>#,##0</c:formatCode>
                <c:ptCount val="10"/>
                <c:pt idx="0">
                  <c:v>538500</c:v>
                </c:pt>
                <c:pt idx="1">
                  <c:v>547956</c:v>
                </c:pt>
                <c:pt idx="2">
                  <c:v>555048</c:v>
                </c:pt>
                <c:pt idx="3">
                  <c:v>545587</c:v>
                </c:pt>
                <c:pt idx="4">
                  <c:v>565886</c:v>
                </c:pt>
                <c:pt idx="5">
                  <c:v>600461</c:v>
                </c:pt>
                <c:pt idx="6">
                  <c:v>590109</c:v>
                </c:pt>
                <c:pt idx="7">
                  <c:v>605883</c:v>
                </c:pt>
                <c:pt idx="8">
                  <c:v>613768</c:v>
                </c:pt>
                <c:pt idx="9">
                  <c:v>611780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B2-489B-BE0D-403B3ADA7FD8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11360640"/>
        <c:axId val="111370624"/>
      </c:lineChart>
      <c:catAx>
        <c:axId val="1113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137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7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1360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82899448294515232"/>
          <c:y val="0.89659988703943638"/>
          <c:w val="0.14820849066729114"/>
          <c:h val="7.10440361621463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DE" sz="1050"/>
              <a:t>Anzahl der nach § 11 Absatz 1 LHundG NRW gemeldeten Hunde</a:t>
            </a:r>
          </a:p>
          <a:p>
            <a:pPr>
              <a:defRPr sz="1050"/>
            </a:pPr>
            <a:r>
              <a:rPr lang="de-DE" sz="1050"/>
              <a:t> von 2023 bis 2025 in den Regierungsbezirken</a:t>
            </a:r>
          </a:p>
        </c:rich>
      </c:tx>
      <c:layout>
        <c:manualLayout>
          <c:xMode val="edge"/>
          <c:yMode val="edge"/>
          <c:x val="0.23579502499147281"/>
          <c:y val="3.2335851329693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28744557394743E-2"/>
          <c:y val="0.15476203979531247"/>
          <c:w val="0.73159552352956314"/>
          <c:h val="0.74429389691668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'8Anz11BR'!$A$2</c:f>
              <c:strCache>
                <c:ptCount val="1"/>
                <c:pt idx="0">
                  <c:v>Bezirksregierung Arnsberg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4.8530162712847446E-3"/>
                  <c:y val="-2.8160831747882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D3-4B0F-B63E-5738C1DF566B}"/>
                </c:ext>
              </c:extLst>
            </c:dLbl>
            <c:dLbl>
              <c:idx val="3"/>
              <c:layout>
                <c:manualLayout>
                  <c:x val="-3.9436623664635995E-4"/>
                  <c:y val="8.8183421516754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D3-4B0F-B63E-5738C1DF566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'8Anz11BR'!$D$1:$F$1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'8Anz11BR'!$D$2:$F$2</c:f>
              <c:numCache>
                <c:formatCode>#,##0</c:formatCode>
                <c:ptCount val="3"/>
                <c:pt idx="0">
                  <c:v>113211</c:v>
                </c:pt>
                <c:pt idx="1">
                  <c:v>114235</c:v>
                </c:pt>
                <c:pt idx="2">
                  <c:v>116676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D3-4B0F-B63E-5738C1DF566B}"/>
            </c:ext>
          </c:extLst>
        </c:ser>
        <c:ser>
          <c:idx val="1"/>
          <c:order val="1"/>
          <c:tx>
            <c:strRef>
              <c:f>'8Anz11BR'!$A$3</c:f>
              <c:strCache>
                <c:ptCount val="1"/>
                <c:pt idx="0">
                  <c:v>Bezirksregierung Detmold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0278472612771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D3-4B0F-B63E-5738C1DF566B}"/>
                </c:ext>
              </c:extLst>
            </c:dLbl>
            <c:dLbl>
              <c:idx val="1"/>
              <c:layout>
                <c:manualLayout>
                  <c:x val="-1.556823866831765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D3-4B0F-B63E-5738C1DF566B}"/>
                </c:ext>
              </c:extLst>
            </c:dLbl>
            <c:dLbl>
              <c:idx val="2"/>
              <c:layout>
                <c:manualLayout>
                  <c:x val="-1.24544079708211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D3-4B0F-B63E-5738C1DF566B}"/>
                </c:ext>
              </c:extLst>
            </c:dLbl>
            <c:dLbl>
              <c:idx val="3"/>
              <c:layout>
                <c:manualLayout>
                  <c:x val="-1.0675206832132373E-2"/>
                  <c:y val="-2.93944738389182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3-4B0F-B63E-5738C1DF566B}"/>
                </c:ext>
              </c:extLst>
            </c:dLbl>
            <c:dLbl>
              <c:idx val="4"/>
              <c:layout>
                <c:manualLayout>
                  <c:x val="-1.0675206832132373E-2"/>
                  <c:y val="-2.93944738389182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D3-4B0F-B63E-5738C1DF566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'8Anz11BR'!$D$1:$F$1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'8Anz11BR'!$D$3:$F$3</c:f>
              <c:numCache>
                <c:formatCode>#,##0</c:formatCode>
                <c:ptCount val="3"/>
                <c:pt idx="0">
                  <c:v>80204</c:v>
                </c:pt>
                <c:pt idx="1">
                  <c:v>80955</c:v>
                </c:pt>
                <c:pt idx="2">
                  <c:v>79501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D3-4B0F-B63E-5738C1DF566B}"/>
            </c:ext>
          </c:extLst>
        </c:ser>
        <c:ser>
          <c:idx val="2"/>
          <c:order val="2"/>
          <c:tx>
            <c:strRef>
              <c:f>'8Anz11BR'!$A$4</c:f>
              <c:strCache>
                <c:ptCount val="1"/>
                <c:pt idx="0">
                  <c:v>Bezirksregierung Düsseldorf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487455854236612E-2"/>
                  <c:y val="-5.8377116170461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D3-4B0F-B63E-5738C1DF566B}"/>
                </c:ext>
              </c:extLst>
            </c:dLbl>
            <c:dLbl>
              <c:idx val="1"/>
              <c:layout>
                <c:manualLayout>
                  <c:x val="-9.8660078618456794E-3"/>
                  <c:y val="-4.82531774227847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D3-4B0F-B63E-5738C1DF566B}"/>
                </c:ext>
              </c:extLst>
            </c:dLbl>
            <c:dLbl>
              <c:idx val="3"/>
              <c:layout>
                <c:manualLayout>
                  <c:x val="-1.61817643090850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D3-4B0F-B63E-5738C1DF566B}"/>
                </c:ext>
              </c:extLst>
            </c:dLbl>
            <c:dLbl>
              <c:idx val="4"/>
              <c:layout>
                <c:manualLayout>
                  <c:x val="1.8355191589842302E-3"/>
                  <c:y val="7.5617862581992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D3-4B0F-B63E-5738C1DF566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'8Anz11BR'!$D$1:$F$1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'8Anz11BR'!$D$4:$F$4</c:f>
              <c:numCache>
                <c:formatCode>#,##0</c:formatCode>
                <c:ptCount val="3"/>
                <c:pt idx="0">
                  <c:v>168368</c:v>
                </c:pt>
                <c:pt idx="1">
                  <c:v>178875</c:v>
                </c:pt>
                <c:pt idx="2">
                  <c:v>167872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D3-4B0F-B63E-5738C1DF566B}"/>
            </c:ext>
          </c:extLst>
        </c:ser>
        <c:ser>
          <c:idx val="3"/>
          <c:order val="3"/>
          <c:tx>
            <c:strRef>
              <c:f>'8Anz11BR'!$A$5</c:f>
              <c:strCache>
                <c:ptCount val="1"/>
                <c:pt idx="0">
                  <c:v>Bezirksregierung Köln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105519287930797E-2"/>
                  <c:y val="-6.16499119746634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D3-4B0F-B63E-5738C1DF566B}"/>
                </c:ext>
              </c:extLst>
            </c:dLbl>
            <c:dLbl>
              <c:idx val="1"/>
              <c:layout>
                <c:manualLayout>
                  <c:x val="2.6184333666445514E-2"/>
                  <c:y val="-6.421482778750729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D3-4B0F-B63E-5738C1DF566B}"/>
                </c:ext>
              </c:extLst>
            </c:dLbl>
            <c:dLbl>
              <c:idx val="2"/>
              <c:layout>
                <c:manualLayout>
                  <c:x val="2.4934453249388661E-2"/>
                  <c:y val="-1.7095085336555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D3-4B0F-B63E-5738C1DF566B}"/>
                </c:ext>
              </c:extLst>
            </c:dLbl>
            <c:dLbl>
              <c:idx val="3"/>
              <c:layout>
                <c:manualLayout>
                  <c:x val="2.0051019692391762E-2"/>
                  <c:y val="-7.7283027887713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D3-4B0F-B63E-5738C1DF566B}"/>
                </c:ext>
              </c:extLst>
            </c:dLbl>
            <c:dLbl>
              <c:idx val="4"/>
              <c:layout>
                <c:manualLayout>
                  <c:x val="2.3638797249366E-2"/>
                  <c:y val="3.39299750403353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D3-4B0F-B63E-5738C1DF566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'8Anz11BR'!$D$1:$F$1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'8Anz11BR'!$D$5:$F$5</c:f>
              <c:numCache>
                <c:formatCode>#,##0</c:formatCode>
                <c:ptCount val="3"/>
                <c:pt idx="0">
                  <c:v>153457</c:v>
                </c:pt>
                <c:pt idx="1">
                  <c:v>145413</c:v>
                </c:pt>
                <c:pt idx="2">
                  <c:v>152216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D3-4B0F-B63E-5738C1DF566B}"/>
            </c:ext>
          </c:extLst>
        </c:ser>
        <c:ser>
          <c:idx val="4"/>
          <c:order val="4"/>
          <c:tx>
            <c:strRef>
              <c:f>'8Anz11BR'!$A$6</c:f>
              <c:strCache>
                <c:ptCount val="1"/>
                <c:pt idx="0">
                  <c:v>Bezirksregierung Münster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'8Anz11BR'!$D$1:$F$1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'8Anz11BR'!$D$6:$F$6</c:f>
              <c:numCache>
                <c:formatCode>#,##0</c:formatCode>
                <c:ptCount val="3"/>
                <c:pt idx="0">
                  <c:v>90643</c:v>
                </c:pt>
                <c:pt idx="1">
                  <c:v>94290</c:v>
                </c:pt>
                <c:pt idx="2">
                  <c:v>95515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D3-4B0F-B63E-5738C1DF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06016"/>
        <c:axId val="111493120"/>
      </c:barChart>
      <c:catAx>
        <c:axId val="1116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149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49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16060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16986857303577"/>
          <c:y val="0.15149371047421045"/>
          <c:w val="0.12820394248154293"/>
          <c:h val="0.277569811675124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/>
              <a:t>Beißvorfälle am Menschen durch den Presa Canario (Dogo Canario)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7903709820233983E-2"/>
          <c:y val="0.15204947473113736"/>
          <c:w val="0.91292580014998681"/>
          <c:h val="0.67200949788853337"/>
        </c:manualLayout>
      </c:layout>
      <c:lineChart>
        <c:grouping val="standard"/>
        <c:varyColors val="0"/>
        <c:ser>
          <c:idx val="0"/>
          <c:order val="0"/>
          <c:tx>
            <c:strRef>
              <c:f>'Stat%DC-BM'!$A$3</c:f>
              <c:strCache>
                <c:ptCount val="1"/>
                <c:pt idx="0">
                  <c:v>Dogo Canario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'Stat%DC-BM'!$B$1:$L$2</c15:sqref>
                  </c15:fullRef>
                  <c15:levelRef>
                    <c15:sqref>'Stat%DC-BM'!$B$2:$L$2</c15:sqref>
                  </c15:levelRef>
                </c:ext>
              </c:extLst>
              <c:f>'Stat%DC-BM'!$B$2:$L$2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'Stat%DC-BM'!$B$3:$L$3</c:f>
              <c:numCache>
                <c:formatCode>0.000</c:formatCode>
                <c:ptCount val="11"/>
                <c:pt idx="0">
                  <c:v>0.13146886578223976</c:v>
                </c:pt>
                <c:pt idx="1">
                  <c:v>0.63424947145877375</c:v>
                </c:pt>
                <c:pt idx="2">
                  <c:v>0.35629453681710216</c:v>
                </c:pt>
                <c:pt idx="3">
                  <c:v>0.20920502092050208</c:v>
                </c:pt>
                <c:pt idx="4">
                  <c:v>0.30120481927710846</c:v>
                </c:pt>
                <c:pt idx="5">
                  <c:v>0.22918258212375858</c:v>
                </c:pt>
                <c:pt idx="6">
                  <c:v>0.85242408098028766</c:v>
                </c:pt>
                <c:pt idx="7">
                  <c:v>2.5147928994082842</c:v>
                </c:pt>
                <c:pt idx="8">
                  <c:v>1.3175230566534915</c:v>
                </c:pt>
                <c:pt idx="9">
                  <c:v>1.059001512859304</c:v>
                </c:pt>
                <c:pt idx="10">
                  <c:v>0.28735632183908044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D-4F8E-A991-4E6B3B690FDD}"/>
            </c:ext>
          </c:extLst>
        </c:ser>
        <c:ser>
          <c:idx val="1"/>
          <c:order val="1"/>
          <c:tx>
            <c:strRef>
              <c:f>'Stat%DC-BM'!$A$4</c:f>
              <c:strCache>
                <c:ptCount val="1"/>
                <c:pt idx="0">
                  <c:v>Durchschnitt: Hunde nach § 11 ohne Dogo Canario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'Stat%DC-BM'!$B$1:$L$2</c15:sqref>
                  </c15:fullRef>
                  <c15:levelRef>
                    <c15:sqref>'Stat%DC-BM'!$B$2:$L$2</c15:sqref>
                  </c15:levelRef>
                </c:ext>
              </c:extLst>
              <c:f>'Stat%DC-BM'!$B$2:$L$2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'Stat%DC-BM'!$B$4:$L$4</c:f>
              <c:numCache>
                <c:formatCode>0.000</c:formatCode>
                <c:ptCount val="11"/>
                <c:pt idx="0">
                  <c:v>0.14380760967496015</c:v>
                </c:pt>
                <c:pt idx="1">
                  <c:v>0.13419400885085692</c:v>
                </c:pt>
                <c:pt idx="2">
                  <c:v>0.13854516608969977</c:v>
                </c:pt>
                <c:pt idx="3">
                  <c:v>0.12958136915891225</c:v>
                </c:pt>
                <c:pt idx="4">
                  <c:v>0.12607285800012111</c:v>
                </c:pt>
                <c:pt idx="5">
                  <c:v>0.136208170010468</c:v>
                </c:pt>
                <c:pt idx="6">
                  <c:v>0.14383946112826271</c:v>
                </c:pt>
                <c:pt idx="7">
                  <c:v>0.15099256404035744</c:v>
                </c:pt>
                <c:pt idx="8">
                  <c:v>0.1505476563481204</c:v>
                </c:pt>
                <c:pt idx="9">
                  <c:v>0.19132060146108265</c:v>
                </c:pt>
                <c:pt idx="10">
                  <c:v>0.17847318645044669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F-4A30-9A23-79A990E19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290224"/>
        <c:axId val="743290552"/>
      </c:lineChart>
      <c:catAx>
        <c:axId val="74329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43290552"/>
        <c:crosses val="autoZero"/>
        <c:auto val="1"/>
        <c:lblAlgn val="ctr"/>
        <c:lblOffset val="100"/>
        <c:noMultiLvlLbl val="0"/>
      </c:catAx>
      <c:valAx>
        <c:axId val="74329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4329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8030188011845"/>
          <c:y val="0.90471196213752836"/>
          <c:w val="0.6840034889743587"/>
          <c:h val="6.5367042791485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/>
              <a:t>Beißvorfälle am anderen Tier durch den Presa Canario (Dogo Canario)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'Stat%DC-BT'!$A$3</c:f>
              <c:strCache>
                <c:ptCount val="1"/>
                <c:pt idx="0">
                  <c:v>Dogo Canario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'Stat%DC-BT'!$B$1:$L$2</c15:sqref>
                  </c15:fullRef>
                  <c15:levelRef>
                    <c15:sqref>'Stat%DC-BT'!$B$2:$L$2</c15:sqref>
                  </c15:levelRef>
                </c:ext>
              </c:extLst>
              <c:f>'Stat%DC-BT'!$B$2:$L$2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'Stat%DC-BT'!$B$3:$L$3</c:f>
              <c:numCache>
                <c:formatCode>0.000</c:formatCode>
                <c:ptCount val="11"/>
                <c:pt idx="0">
                  <c:v>0.11951715071112705</c:v>
                </c:pt>
                <c:pt idx="1">
                  <c:v>2.3255813953488373</c:v>
                </c:pt>
                <c:pt idx="2">
                  <c:v>0.71258907363420432</c:v>
                </c:pt>
                <c:pt idx="3">
                  <c:v>1.2552301255230125</c:v>
                </c:pt>
                <c:pt idx="4">
                  <c:v>1.2048192771084338</c:v>
                </c:pt>
                <c:pt idx="5">
                  <c:v>0.30557677616501144</c:v>
                </c:pt>
                <c:pt idx="6">
                  <c:v>0.15982951518380395</c:v>
                </c:pt>
                <c:pt idx="7">
                  <c:v>2.2189349112426036</c:v>
                </c:pt>
                <c:pt idx="8">
                  <c:v>0.5270092226613966</c:v>
                </c:pt>
                <c:pt idx="9">
                  <c:v>0.45385779122541603</c:v>
                </c:pt>
                <c:pt idx="10">
                  <c:v>0.47892720306513409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C-4CA4-B6A8-1BB776C74CCB}"/>
            </c:ext>
          </c:extLst>
        </c:ser>
        <c:ser>
          <c:idx val="1"/>
          <c:order val="1"/>
          <c:tx>
            <c:strRef>
              <c:f>'Stat%DC-BT'!$A$4</c:f>
              <c:strCache>
                <c:ptCount val="1"/>
                <c:pt idx="0">
                  <c:v>Durchschnitt: Hunde nach § 11 ohne Dogo Canario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'Stat%DC-BT'!$B$1:$L$2</c15:sqref>
                  </c15:fullRef>
                  <c15:levelRef>
                    <c15:sqref>'Stat%DC-BT'!$B$2:$L$2</c15:sqref>
                  </c15:levelRef>
                </c:ext>
              </c:extLst>
              <c:f>'Stat%DC-BT'!$B$2:$L$2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'Stat%DC-BT'!$B$4:$L$4</c:f>
              <c:numCache>
                <c:formatCode>0.000</c:formatCode>
                <c:ptCount val="11"/>
                <c:pt idx="0">
                  <c:v>0.20271675098759442</c:v>
                </c:pt>
                <c:pt idx="1">
                  <c:v>0.18976742802870489</c:v>
                </c:pt>
                <c:pt idx="2">
                  <c:v>0.18625003198602119</c:v>
                </c:pt>
                <c:pt idx="3">
                  <c:v>0.18516780606830635</c:v>
                </c:pt>
                <c:pt idx="4">
                  <c:v>0.20479957718796968</c:v>
                </c:pt>
                <c:pt idx="5">
                  <c:v>0.17871787196432018</c:v>
                </c:pt>
                <c:pt idx="6">
                  <c:v>0.18844472956176578</c:v>
                </c:pt>
                <c:pt idx="7">
                  <c:v>0.18254831337912875</c:v>
                </c:pt>
                <c:pt idx="8">
                  <c:v>0.1601324687171555</c:v>
                </c:pt>
                <c:pt idx="9">
                  <c:v>0.19474577846933733</c:v>
                </c:pt>
                <c:pt idx="10">
                  <c:v>0.17421602787456447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C-4CA4-B6A8-1BB776C7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470624"/>
        <c:axId val="734475544"/>
      </c:lineChart>
      <c:catAx>
        <c:axId val="73447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34475544"/>
        <c:crosses val="autoZero"/>
        <c:auto val="1"/>
        <c:lblAlgn val="ctr"/>
        <c:lblOffset val="100"/>
        <c:noMultiLvlLbl val="0"/>
      </c:catAx>
      <c:valAx>
        <c:axId val="73447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3447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36363742706476"/>
          <c:y val="0.89450076520979882"/>
          <c:w val="0.76741204490049908"/>
          <c:h val="8.2288174909266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/>
              <a:t>Beißvorfälle am Menschen durch den Miniatur-Bullterrier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'Stat%MiniBT-BM'!$A$3</c:f>
              <c:strCache>
                <c:ptCount val="1"/>
                <c:pt idx="0">
                  <c:v>Miniatur-Bullterrier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'Stat%MiniBT-BM'!$C$1:$L$2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'Stat%MiniBT-BM'!$C$3:$L$3</c:f>
              <c:numCache>
                <c:formatCode>0.000</c:formatCode>
                <c:ptCount val="10"/>
                <c:pt idx="0">
                  <c:v>0.55172413793103448</c:v>
                </c:pt>
                <c:pt idx="1">
                  <c:v>0.25510204081632654</c:v>
                </c:pt>
                <c:pt idx="2">
                  <c:v>0.44843049327354262</c:v>
                </c:pt>
                <c:pt idx="3">
                  <c:v>0</c:v>
                </c:pt>
                <c:pt idx="4">
                  <c:v>9.7134531325886356E-2</c:v>
                </c:pt>
                <c:pt idx="5">
                  <c:v>0</c:v>
                </c:pt>
                <c:pt idx="6">
                  <c:v>0.38585209003215432</c:v>
                </c:pt>
                <c:pt idx="7">
                  <c:v>0.61012812690665041</c:v>
                </c:pt>
                <c:pt idx="8">
                  <c:v>0.92699884125144849</c:v>
                </c:pt>
                <c:pt idx="9">
                  <c:v>0.58892815076560656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8-4A95-BB06-13E716DB4163}"/>
            </c:ext>
          </c:extLst>
        </c:ser>
        <c:ser>
          <c:idx val="1"/>
          <c:order val="1"/>
          <c:tx>
            <c:strRef>
              <c:f>'Stat%MiniBT-BM'!$A$4</c:f>
              <c:strCache>
                <c:ptCount val="1"/>
                <c:pt idx="0">
                  <c:v>Durchschnitt: Gefährliche Hunde nach § 3 Abs. 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'Stat%MiniBT-BM'!$C$1:$L$2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'Stat%MiniBT-BM'!$C$4:$L$4</c:f>
              <c:numCache>
                <c:formatCode>0.000</c:formatCode>
                <c:ptCount val="10"/>
                <c:pt idx="0">
                  <c:v>0.203334688897926</c:v>
                </c:pt>
                <c:pt idx="1">
                  <c:v>0.1367801942278758</c:v>
                </c:pt>
                <c:pt idx="2">
                  <c:v>0.49871542995315099</c:v>
                </c:pt>
                <c:pt idx="3">
                  <c:v>0.32128514056224899</c:v>
                </c:pt>
                <c:pt idx="4">
                  <c:v>0.23209036051369333</c:v>
                </c:pt>
                <c:pt idx="5">
                  <c:v>0.49170251997541486</c:v>
                </c:pt>
                <c:pt idx="6">
                  <c:v>0.24291497975708501</c:v>
                </c:pt>
                <c:pt idx="7">
                  <c:v>0.38467703157557298</c:v>
                </c:pt>
                <c:pt idx="8">
                  <c:v>0.38878989146282195</c:v>
                </c:pt>
                <c:pt idx="9">
                  <c:v>0.37332428304768367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8-4A95-BB06-13E716DB4163}"/>
            </c:ext>
          </c:extLst>
        </c:ser>
        <c:ser>
          <c:idx val="2"/>
          <c:order val="2"/>
          <c:tx>
            <c:strRef>
              <c:f>'Stat%MiniBT-BM'!$A$5</c:f>
              <c:strCache>
                <c:ptCount val="1"/>
                <c:pt idx="0">
                  <c:v>Durchschnitt: Hunde sonstiger Rassen nach § 10 Abs. 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'Stat%MiniBT-BM'!$C$1:$L$2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'Stat%MiniBT-BM'!$C$5:$L$5</c:f>
              <c:numCache>
                <c:formatCode>0.000</c:formatCode>
                <c:ptCount val="10"/>
                <c:pt idx="0">
                  <c:v>0.3947231744053184</c:v>
                </c:pt>
                <c:pt idx="1">
                  <c:v>0.19244403929909856</c:v>
                </c:pt>
                <c:pt idx="2">
                  <c:v>0.29686174724342662</c:v>
                </c:pt>
                <c:pt idx="3">
                  <c:v>0.33314825097168238</c:v>
                </c:pt>
                <c:pt idx="4">
                  <c:v>0.32981530343007914</c:v>
                </c:pt>
                <c:pt idx="5">
                  <c:v>0.44057715607445752</c:v>
                </c:pt>
                <c:pt idx="6">
                  <c:v>0.54176072234762984</c:v>
                </c:pt>
                <c:pt idx="7">
                  <c:v>0.52112835617990261</c:v>
                </c:pt>
                <c:pt idx="8">
                  <c:v>0.56762092793682128</c:v>
                </c:pt>
                <c:pt idx="9">
                  <c:v>0.419473751112241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78-4A95-BB06-13E716DB4163}"/>
            </c:ext>
          </c:extLst>
        </c:ser>
        <c:ser>
          <c:idx val="3"/>
          <c:order val="3"/>
          <c:tx>
            <c:strRef>
              <c:f>'Stat%MiniBT-BM'!$A$6</c:f>
              <c:strCache>
                <c:ptCount val="1"/>
                <c:pt idx="0">
                  <c:v>Durchschnitt: Große Hunde nach § 11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'Stat%MiniBT-BM'!$C$1:$L$2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'Stat%MiniBT-BM'!$C$6:$L$6</c:f>
              <c:numCache>
                <c:formatCode>0.000</c:formatCode>
                <c:ptCount val="10"/>
                <c:pt idx="0">
                  <c:v>0.13463324048282266</c:v>
                </c:pt>
                <c:pt idx="1">
                  <c:v>0.13887976406864785</c:v>
                </c:pt>
                <c:pt idx="2">
                  <c:v>0.12971851083149566</c:v>
                </c:pt>
                <c:pt idx="3">
                  <c:v>0.12628600021628081</c:v>
                </c:pt>
                <c:pt idx="4">
                  <c:v>0.13642323718911584</c:v>
                </c:pt>
                <c:pt idx="5">
                  <c:v>0.14605444816565938</c:v>
                </c:pt>
                <c:pt idx="6">
                  <c:v>0.15370041805835871</c:v>
                </c:pt>
                <c:pt idx="7">
                  <c:v>0.1520095463975718</c:v>
                </c:pt>
                <c:pt idx="8">
                  <c:v>0.19225505402692875</c:v>
                </c:pt>
                <c:pt idx="9">
                  <c:v>0.17865899506358496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78-4A95-BB06-13E716DB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290224"/>
        <c:axId val="743290552"/>
      </c:lineChart>
      <c:catAx>
        <c:axId val="74329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43290552"/>
        <c:crosses val="autoZero"/>
        <c:auto val="1"/>
        <c:lblAlgn val="ctr"/>
        <c:lblOffset val="100"/>
        <c:noMultiLvlLbl val="0"/>
      </c:catAx>
      <c:valAx>
        <c:axId val="74329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4329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27927954893238"/>
          <c:y val="0.78068295592336334"/>
          <c:w val="0.79319956449675799"/>
          <c:h val="0.19472666359795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/>
              <a:t>Beißvorfälle am anderen Tier durch den Miniatur-Bullterrier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9893688870555905E-2"/>
          <c:y val="0.13677351211927524"/>
          <c:w val="0.91130882194678009"/>
          <c:h val="0.63450975709606983"/>
        </c:manualLayout>
      </c:layout>
      <c:lineChart>
        <c:grouping val="standard"/>
        <c:varyColors val="0"/>
        <c:ser>
          <c:idx val="0"/>
          <c:order val="0"/>
          <c:tx>
            <c:strRef>
              <c:f>'Stat%MiniBT-BT'!$A$3</c:f>
              <c:strCache>
                <c:ptCount val="1"/>
                <c:pt idx="0">
                  <c:v>Miniatur-Bullterrier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'Stat%MiniBT-BT'!$C$1:$L$2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'Stat%MiniBT-BT'!$C$3:$L$3</c:f>
              <c:numCache>
                <c:formatCode>0.000</c:formatCode>
                <c:ptCount val="10"/>
                <c:pt idx="0">
                  <c:v>0.55172413793103448</c:v>
                </c:pt>
                <c:pt idx="1">
                  <c:v>1.2755102040816326</c:v>
                </c:pt>
                <c:pt idx="2">
                  <c:v>0.7847533632286996</c:v>
                </c:pt>
                <c:pt idx="3">
                  <c:v>0.53078556263269638</c:v>
                </c:pt>
                <c:pt idx="4">
                  <c:v>0.48567265662943176</c:v>
                </c:pt>
                <c:pt idx="5">
                  <c:v>0.16835016835016836</c:v>
                </c:pt>
                <c:pt idx="6">
                  <c:v>0.25723472668810288</c:v>
                </c:pt>
                <c:pt idx="7">
                  <c:v>0.54911531421598536</c:v>
                </c:pt>
                <c:pt idx="8">
                  <c:v>0.40556199304750867</c:v>
                </c:pt>
                <c:pt idx="9">
                  <c:v>0.19630938358853553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6-43A8-B23D-9F4C23089F28}"/>
            </c:ext>
          </c:extLst>
        </c:ser>
        <c:ser>
          <c:idx val="1"/>
          <c:order val="1"/>
          <c:tx>
            <c:strRef>
              <c:f>'Stat%MiniBT-BT'!$A$4</c:f>
              <c:strCache>
                <c:ptCount val="1"/>
                <c:pt idx="0">
                  <c:v>Durchschnitt: Gefährliche Hunde nach § 3 Abs. 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'Stat%MiniBT-BT'!$C$1:$L$2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'Stat%MiniBT-BT'!$C$4:$L$4</c:f>
              <c:numCache>
                <c:formatCode>0.000</c:formatCode>
                <c:ptCount val="10"/>
                <c:pt idx="0">
                  <c:v>0.39311373186932358</c:v>
                </c:pt>
                <c:pt idx="1">
                  <c:v>0.39666256326083982</c:v>
                </c:pt>
                <c:pt idx="2">
                  <c:v>0.80096720568233337</c:v>
                </c:pt>
                <c:pt idx="3">
                  <c:v>0.81927710843373491</c:v>
                </c:pt>
                <c:pt idx="4">
                  <c:v>0.69627108154107997</c:v>
                </c:pt>
                <c:pt idx="5">
                  <c:v>0.82974800245851255</c:v>
                </c:pt>
                <c:pt idx="6">
                  <c:v>0.50202429149797567</c:v>
                </c:pt>
                <c:pt idx="7">
                  <c:v>0.6090719666613239</c:v>
                </c:pt>
                <c:pt idx="8">
                  <c:v>0.51838652195042934</c:v>
                </c:pt>
                <c:pt idx="9">
                  <c:v>0.4412014254199898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6-43A8-B23D-9F4C23089F28}"/>
            </c:ext>
          </c:extLst>
        </c:ser>
        <c:ser>
          <c:idx val="2"/>
          <c:order val="2"/>
          <c:tx>
            <c:strRef>
              <c:f>'Stat%MiniBT-BT'!$A$5</c:f>
              <c:strCache>
                <c:ptCount val="1"/>
                <c:pt idx="0">
                  <c:v>Durchschnitt: Hunde sonstiger Rassen nach § 10 Abs. 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'Stat%MiniBT-BT'!$C$1:$L$2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'Stat%MiniBT-BT'!$C$5:$L$5</c:f>
              <c:numCache>
                <c:formatCode>0.000</c:formatCode>
                <c:ptCount val="10"/>
                <c:pt idx="0">
                  <c:v>0.69595928118832451</c:v>
                </c:pt>
                <c:pt idx="1">
                  <c:v>0.51656031601336982</c:v>
                </c:pt>
                <c:pt idx="2">
                  <c:v>0.59372349448685324</c:v>
                </c:pt>
                <c:pt idx="3">
                  <c:v>0.75513603553581343</c:v>
                </c:pt>
                <c:pt idx="4">
                  <c:v>0.56068601583113453</c:v>
                </c:pt>
                <c:pt idx="5">
                  <c:v>0.75999559422843921</c:v>
                </c:pt>
                <c:pt idx="6">
                  <c:v>0.50790067720090293</c:v>
                </c:pt>
                <c:pt idx="7">
                  <c:v>0.45315509233035006</c:v>
                </c:pt>
                <c:pt idx="8">
                  <c:v>0.65399802566633758</c:v>
                </c:pt>
                <c:pt idx="9">
                  <c:v>0.49574170585992117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6-43A8-B23D-9F4C23089F28}"/>
            </c:ext>
          </c:extLst>
        </c:ser>
        <c:ser>
          <c:idx val="3"/>
          <c:order val="3"/>
          <c:tx>
            <c:strRef>
              <c:f>'Stat%MiniBT-BT'!$A$6</c:f>
              <c:strCache>
                <c:ptCount val="1"/>
                <c:pt idx="0">
                  <c:v>Durchschnitt: Große Hunde nach § 11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'Stat%MiniBT-BT'!$C$1:$L$2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'Stat%MiniBT-BT'!$C$6:$L$6</c:f>
              <c:numCache>
                <c:formatCode>0.000</c:formatCode>
                <c:ptCount val="10"/>
                <c:pt idx="0">
                  <c:v>0.19164345403899721</c:v>
                </c:pt>
                <c:pt idx="1">
                  <c:v>0.18705881494134566</c:v>
                </c:pt>
                <c:pt idx="2">
                  <c:v>0.18701085311540624</c:v>
                </c:pt>
                <c:pt idx="3">
                  <c:v>0.206016638959506</c:v>
                </c:pt>
                <c:pt idx="4">
                  <c:v>0.1790113203012621</c:v>
                </c:pt>
                <c:pt idx="5">
                  <c:v>0.18835528035959037</c:v>
                </c:pt>
                <c:pt idx="6">
                  <c:v>0.18488109823778318</c:v>
                </c:pt>
                <c:pt idx="7">
                  <c:v>0.16059206150362362</c:v>
                </c:pt>
                <c:pt idx="8">
                  <c:v>0.19502483022901163</c:v>
                </c:pt>
                <c:pt idx="9">
                  <c:v>0.17473601621497925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6-43A8-B23D-9F4C2308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470624"/>
        <c:axId val="734475544"/>
      </c:lineChart>
      <c:catAx>
        <c:axId val="73447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34475544"/>
        <c:crosses val="autoZero"/>
        <c:auto val="1"/>
        <c:lblAlgn val="ctr"/>
        <c:lblOffset val="100"/>
        <c:noMultiLvlLbl val="0"/>
      </c:catAx>
      <c:valAx>
        <c:axId val="73447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3447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36363742706476"/>
          <c:y val="0.83937466967358365"/>
          <c:w val="0.76741204490049908"/>
          <c:h val="0.15260044115267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/>
              <a:t>Die Verteilung der Hunde in Nordrhein-Westfalen</a:t>
            </a:r>
          </a:p>
          <a:p>
            <a:pPr>
              <a:defRPr/>
            </a:pPr>
            <a:r>
              <a:rPr lang="de-DE"/>
              <a:t>in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032691276787545E-2"/>
          <c:y val="0.19296512112008352"/>
          <c:w val="0.94748313783928262"/>
          <c:h val="0.7708318800916997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78-4BDE-BE54-94194214C0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7178-4BDE-BE54-94194214C0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78-4BDE-BE54-94194214C0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178-4BDE-BE54-94194214C0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78-4BDE-BE54-94194214C0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178-4BDE-BE54-94194214C0E5}"/>
              </c:ext>
            </c:extLst>
          </c:dPt>
          <c:dLbls>
            <c:dLbl>
              <c:idx val="0"/>
              <c:layout>
                <c:manualLayout>
                  <c:x val="-0.23983176559660585"/>
                  <c:y val="4.45351908252679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78-4BDE-BE54-94194214C0E5}"/>
                </c:ext>
              </c:extLst>
            </c:dLbl>
            <c:dLbl>
              <c:idx val="1"/>
              <c:layout>
                <c:manualLayout>
                  <c:x val="-0.16566649662111294"/>
                  <c:y val="-0.1037605591419364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78-4BDE-BE54-94194214C0E5}"/>
                </c:ext>
              </c:extLst>
            </c:dLbl>
            <c:dLbl>
              <c:idx val="2"/>
              <c:layout>
                <c:manualLayout>
                  <c:x val="8.3258682310857618E-2"/>
                  <c:y val="-8.97104562955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78-4BDE-BE54-94194214C0E5}"/>
                </c:ext>
              </c:extLst>
            </c:dLbl>
            <c:dLbl>
              <c:idx val="3"/>
              <c:layout>
                <c:manualLayout>
                  <c:x val="0.13674716428551664"/>
                  <c:y val="2.93461413388257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78-4BDE-BE54-94194214C0E5}"/>
                </c:ext>
              </c:extLst>
            </c:dLbl>
            <c:dLbl>
              <c:idx val="4"/>
              <c:layout>
                <c:manualLayout>
                  <c:x val="-5.0129732062502957E-2"/>
                  <c:y val="0.122904993749094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78-4BDE-BE54-94194214C0E5}"/>
                </c:ext>
              </c:extLst>
            </c:dLbl>
            <c:dLbl>
              <c:idx val="5"/>
              <c:layout>
                <c:manualLayout>
                  <c:x val="0"/>
                  <c:y val="-5.2436603486098174E-2"/>
                </c:manualLayout>
              </c:layout>
              <c:tx>
                <c:rich>
                  <a:bodyPr/>
                  <a:lstStyle/>
                  <a:p>
                    <a:fld id="{FE79AAF4-7217-4393-95B5-F556428D0247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E7B15447-BB77-48E6-B0F7-4E13CFDD3844}" type="PERCENTAGE">
                      <a:rPr lang="en-US" baseline="0"/>
                      <a:pPr/>
                      <a:t>[PROZENTSATZ]</a:t>
                    </a:fld>
                    <a:r>
                      <a:rPr lang="en-US" baseline="0"/>
                      <a:t>*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78-4BDE-BE54-94194214C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'9Grafik'!$A$2:$A$7</c:f>
              <c:strCache>
                <c:ptCount val="6"/>
                <c:pt idx="0">
                  <c:v>§ 3 Absatz 2 Hunde </c:v>
                </c:pt>
                <c:pt idx="1">
                  <c:v>§ 10 Absatz 1 Hunde</c:v>
                </c:pt>
                <c:pt idx="2">
                  <c:v>Australian Shepherd</c:v>
                </c:pt>
                <c:pt idx="3">
                  <c:v>Deutscher Schäferhund</c:v>
                </c:pt>
                <c:pt idx="4">
                  <c:v>alle anderen große Hunde nach § 11 Absatz 1</c:v>
                </c:pt>
                <c:pt idx="5">
                  <c:v>alle kleinen Hunde</c:v>
                </c:pt>
              </c:strCache>
            </c:strRef>
          </c:cat>
          <c:val>
            <c:numRef>
              <c:f>'9Grafik'!$B$2:$B$7</c:f>
              <c:numCache>
                <c:formatCode>#,##0</c:formatCode>
                <c:ptCount val="6"/>
                <c:pt idx="0">
                  <c:v>5893</c:v>
                </c:pt>
                <c:pt idx="1">
                  <c:v>7867</c:v>
                </c:pt>
                <c:pt idx="2">
                  <c:v>22421</c:v>
                </c:pt>
                <c:pt idx="3">
                  <c:v>29800</c:v>
                </c:pt>
                <c:pt idx="4">
                  <c:v>559559</c:v>
                </c:pt>
                <c:pt idx="5">
                  <c:v>346924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8-4BDE-BE54-94194214C0E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sz="1050" b="1" i="0" baseline="0">
                <a:effectLst/>
              </a:rPr>
              <a:t>Anteil an Beißvorfällen mit erheblichen Verletzungen am anderen Tier in Bezug auf die Gesamtpopulation in 2024 und 2025</a:t>
            </a:r>
            <a:endParaRPr lang="de-D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'Stat%RelErhb-BT'!$B$2</c:f>
              <c:strCache>
                <c:ptCount val="1"/>
                <c:pt idx="0">
                  <c:v>Durchschnitt
in 10 Jahren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'Stat%RelErhb-BT'!$A$3:$A$6</c:f>
              <c:strCache>
                <c:ptCount val="4"/>
                <c:pt idx="0">
                  <c:v>Gefährliche Hunde
nach § 3 Abs. 2</c:v>
                </c:pt>
                <c:pt idx="1">
                  <c:v>Hunde bestimmter Rassen
nach § 10 Abs. 1</c:v>
                </c:pt>
                <c:pt idx="2">
                  <c:v>Große Hunde
nach § 11</c:v>
                </c:pt>
                <c:pt idx="3">
                  <c:v>Kleine Hunde</c:v>
                </c:pt>
              </c:strCache>
            </c:strRef>
          </c:cat>
          <c:val>
            <c:numRef>
              <c:f>'Stat%RelErhb-BT'!$B$3:$B$6</c:f>
            </c:numRef>
          </c:val>
          <c:extLst>
            <c:ext xmlns:c16="http://schemas.microsoft.com/office/drawing/2014/chart" uri="{C3380CC4-5D6E-409C-BE32-E72D297353CC}">
              <c16:uniqueId val="{00000000-5D7B-4449-82A5-64DAD100E71B}"/>
            </c:ext>
          </c:extLst>
        </c:ser>
        <c:ser>
          <c:idx val="1"/>
          <c:order val="1"/>
          <c:tx>
            <c:strRef>
              <c:f>'Stat%RelErhb-BT'!$C$2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'Stat%RelErhb-BT'!$A$3:$A$6</c:f>
              <c:strCache>
                <c:ptCount val="4"/>
                <c:pt idx="0">
                  <c:v>Gefährliche Hunde
nach § 3 Abs. 2</c:v>
                </c:pt>
                <c:pt idx="1">
                  <c:v>Hunde bestimmter Rassen
nach § 10 Abs. 1</c:v>
                </c:pt>
                <c:pt idx="2">
                  <c:v>Große Hunde
nach § 11</c:v>
                </c:pt>
                <c:pt idx="3">
                  <c:v>Kleine Hunde</c:v>
                </c:pt>
              </c:strCache>
            </c:strRef>
          </c:cat>
          <c:val>
            <c:numRef>
              <c:f>'Stat%RelErhb-BT'!$C$3:$C$6</c:f>
              <c:numCache>
                <c:formatCode>0.000</c:formatCode>
                <c:ptCount val="4"/>
                <c:pt idx="0">
                  <c:v>0.194394945731411</c:v>
                </c:pt>
                <c:pt idx="1">
                  <c:v>0.20977295162882525</c:v>
                </c:pt>
                <c:pt idx="2">
                  <c:v>6.484534873111665E-2</c:v>
                </c:pt>
                <c:pt idx="3">
                  <c:v>9.6768217999441495E-3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B-4449-82A5-64DAD100E71B}"/>
            </c:ext>
          </c:extLst>
        </c:ser>
        <c:ser>
          <c:idx val="2"/>
          <c:order val="2"/>
          <c:tx>
            <c:strRef>
              <c:f>'Stat%RelErhb-BT'!$D$2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'Stat%RelErhb-BT'!$A$3:$A$6</c:f>
              <c:strCache>
                <c:ptCount val="4"/>
                <c:pt idx="0">
                  <c:v>Gefährliche Hunde
nach § 3 Abs. 2</c:v>
                </c:pt>
                <c:pt idx="1">
                  <c:v>Hunde bestimmter Rassen
nach § 10 Abs. 1</c:v>
                </c:pt>
                <c:pt idx="2">
                  <c:v>Große Hunde
nach § 11</c:v>
                </c:pt>
                <c:pt idx="3">
                  <c:v>Kleine Hunde</c:v>
                </c:pt>
              </c:strCache>
            </c:strRef>
          </c:cat>
          <c:val>
            <c:numRef>
              <c:f>'Stat%RelErhb-BT'!$D$3:$D$6</c:f>
              <c:numCache>
                <c:formatCode>0.000</c:formatCode>
                <c:ptCount val="4"/>
                <c:pt idx="0">
                  <c:v>0.15272357033768877</c:v>
                </c:pt>
                <c:pt idx="1">
                  <c:v>0.11440193212152026</c:v>
                </c:pt>
                <c:pt idx="2">
                  <c:v>4.9691065415672295E-2</c:v>
                </c:pt>
                <c:pt idx="3">
                  <c:v>5.4767038313867011E-3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7B-4449-82A5-64DAD100E7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92523344"/>
        <c:axId val="692522032"/>
      </c:barChart>
      <c:catAx>
        <c:axId val="692523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692522032"/>
        <c:crosses val="autoZero"/>
        <c:auto val="1"/>
        <c:lblAlgn val="ctr"/>
        <c:lblOffset val="100"/>
        <c:noMultiLvlLbl val="0"/>
      </c:catAx>
      <c:valAx>
        <c:axId val="69252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69252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/>
              <a:t>Entwicklung der Anzahl der gefährlichen Hunde nach</a:t>
            </a:r>
          </a:p>
          <a:p>
            <a:pPr>
              <a:defRPr/>
            </a:pPr>
            <a:r>
              <a:rPr lang="de-DE"/>
              <a:t> § 3 Absatz 2 LHundG NRW in den letzten 20 Jahren</a:t>
            </a:r>
          </a:p>
        </c:rich>
      </c:tx>
      <c:layout>
        <c:manualLayout>
          <c:xMode val="edge"/>
          <c:yMode val="edge"/>
          <c:x val="0.17882859807654589"/>
          <c:y val="2.688039514038103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baseline="0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025793134838309"/>
          <c:y val="0.18010817700127946"/>
          <c:w val="0.80325724331502901"/>
          <c:h val="0.62903452863133424"/>
        </c:manualLayout>
      </c:layout>
      <c:lineChart>
        <c:grouping val="stacked"/>
        <c:varyColors val="0"/>
        <c:ser>
          <c:idx val="0"/>
          <c:order val="0"/>
          <c:tx>
            <c:strRef>
              <c:f>'1Anz3'!$A$2</c:f>
              <c:strCache>
                <c:ptCount val="1"/>
                <c:pt idx="0">
                  <c:v>Anzahl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2942035320074657E-2"/>
                  <c:y val="-5.35998038951227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7-4F70-9B87-C3B037FEC39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7-4F70-9B87-C3B037FEC39D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857-4F70-9B87-C3B037FEC39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57-4F70-9B87-C3B037FEC39D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857-4F70-9B87-C3B037FEC39D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57-4F70-9B87-C3B037FEC39D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857-4F70-9B87-C3B037FEC39D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57-4F70-9B87-C3B037FEC39D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857-4F70-9B87-C3B037FEC39D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57-4F70-9B87-C3B037FEC39D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57-4F70-9B87-C3B037FEC39D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57-4F70-9B87-C3B037FEC39D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57-4F70-9B87-C3B037FEC39D}"/>
                </c:ext>
              </c:extLst>
            </c:dLbl>
            <c:dLbl>
              <c:idx val="17"/>
              <c:layout>
                <c:manualLayout>
                  <c:x val="-3.931389044229136E-2"/>
                  <c:y val="5.0764634513151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30-4DF5-80A1-FD7FB4527D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'1Anz3'!$B$1:$U$1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'1Anz3'!$B$2:$U$2</c:f>
              <c:numCache>
                <c:formatCode>#,##0</c:formatCode>
                <c:ptCount val="20"/>
                <c:pt idx="0">
                  <c:v>12431</c:v>
                </c:pt>
                <c:pt idx="1">
                  <c:v>12023</c:v>
                </c:pt>
                <c:pt idx="2">
                  <c:v>11927</c:v>
                </c:pt>
                <c:pt idx="3">
                  <c:v>10202</c:v>
                </c:pt>
                <c:pt idx="4">
                  <c:v>10063</c:v>
                </c:pt>
                <c:pt idx="5">
                  <c:v>9346</c:v>
                </c:pt>
                <c:pt idx="6">
                  <c:v>8583</c:v>
                </c:pt>
                <c:pt idx="7">
                  <c:v>8015</c:v>
                </c:pt>
                <c:pt idx="8">
                  <c:v>7252</c:v>
                </c:pt>
                <c:pt idx="9">
                  <c:v>7289</c:v>
                </c:pt>
                <c:pt idx="10">
                  <c:v>7377</c:v>
                </c:pt>
                <c:pt idx="11">
                  <c:v>7311</c:v>
                </c:pt>
                <c:pt idx="12">
                  <c:v>6617</c:v>
                </c:pt>
                <c:pt idx="13">
                  <c:v>6225</c:v>
                </c:pt>
                <c:pt idx="14">
                  <c:v>6463</c:v>
                </c:pt>
                <c:pt idx="15">
                  <c:v>6508</c:v>
                </c:pt>
                <c:pt idx="16">
                  <c:v>6175</c:v>
                </c:pt>
                <c:pt idx="17">
                  <c:v>6239</c:v>
                </c:pt>
                <c:pt idx="18">
                  <c:v>6173</c:v>
                </c:pt>
                <c:pt idx="19">
                  <c:v>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857-4F70-9B87-C3B037FEC3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dropLines>
        <c:marker val="1"/>
        <c:smooth val="0"/>
        <c:axId val="99181312"/>
        <c:axId val="99182848"/>
      </c:lineChart>
      <c:catAx>
        <c:axId val="991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9918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182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99181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4054754139332493"/>
          <c:y val="0.71891648412548081"/>
          <c:w val="0.21101157200704765"/>
          <c:h val="7.18985126859142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Anzahl der nach § 3 Absatz 2 LHundG gemeldeten gefährlichen Hunde</a:t>
            </a:r>
          </a:p>
          <a:p>
            <a:pPr>
              <a:defRPr/>
            </a:pPr>
            <a:r>
              <a:rPr lang="de-DE"/>
              <a:t> im Land NRW</a:t>
            </a:r>
          </a:p>
        </c:rich>
      </c:tx>
      <c:layout>
        <c:manualLayout>
          <c:xMode val="edge"/>
          <c:yMode val="edge"/>
          <c:x val="0.16017969540641275"/>
          <c:y val="2.267002518891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979125931406229E-2"/>
          <c:y val="0.14105806049887906"/>
          <c:w val="0.68581697757578963"/>
          <c:h val="0.74811175135753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'2Anz3BR'!$C$3</c:f>
              <c:strCache>
                <c:ptCount val="1"/>
                <c:pt idx="0">
                  <c:v>Bezirksregierung Arnsberg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'2Anz3BR'!$D$2:$H$2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'2Anz3BR'!$D$3:$H$3</c:f>
              <c:numCache>
                <c:formatCode>#,##0</c:formatCode>
                <c:ptCount val="5"/>
                <c:pt idx="0">
                  <c:v>1447</c:v>
                </c:pt>
                <c:pt idx="1">
                  <c:v>1327</c:v>
                </c:pt>
                <c:pt idx="2">
                  <c:v>1270</c:v>
                </c:pt>
                <c:pt idx="3">
                  <c:v>1265</c:v>
                </c:pt>
                <c:pt idx="4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1-4C98-BA8C-CD8FB310D26F}"/>
            </c:ext>
          </c:extLst>
        </c:ser>
        <c:ser>
          <c:idx val="1"/>
          <c:order val="1"/>
          <c:tx>
            <c:strRef>
              <c:f>'2Anz3BR'!$C$4</c:f>
              <c:strCache>
                <c:ptCount val="1"/>
                <c:pt idx="0">
                  <c:v>Bezirksregierung Detmold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'2Anz3BR'!$D$2:$H$2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'2Anz3BR'!$D$4:$H$4</c:f>
              <c:numCache>
                <c:formatCode>#,##0</c:formatCode>
                <c:ptCount val="5"/>
                <c:pt idx="0">
                  <c:v>572</c:v>
                </c:pt>
                <c:pt idx="1">
                  <c:v>606</c:v>
                </c:pt>
                <c:pt idx="2">
                  <c:v>659</c:v>
                </c:pt>
                <c:pt idx="3">
                  <c:v>677</c:v>
                </c:pt>
                <c:pt idx="4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1-4C98-BA8C-CD8FB310D26F}"/>
            </c:ext>
          </c:extLst>
        </c:ser>
        <c:ser>
          <c:idx val="2"/>
          <c:order val="2"/>
          <c:tx>
            <c:strRef>
              <c:f>'2Anz3BR'!$C$5</c:f>
              <c:strCache>
                <c:ptCount val="1"/>
                <c:pt idx="0">
                  <c:v>Bezirksregierung Düsseldorf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5.56792873051224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11-4C98-BA8C-CD8FB310D26F}"/>
                </c:ext>
              </c:extLst>
            </c:dLbl>
            <c:dLbl>
              <c:idx val="3"/>
              <c:layout>
                <c:manualLayout>
                  <c:x val="-1.8559762435040831E-3"/>
                  <c:y val="-3.9463224607862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11-4C98-BA8C-CD8FB310D26F}"/>
                </c:ext>
              </c:extLst>
            </c:dLbl>
            <c:dLbl>
              <c:idx val="4"/>
              <c:layout>
                <c:manualLayout>
                  <c:x val="0"/>
                  <c:y val="-2.592772646248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11-4C98-BA8C-CD8FB310D26F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'2Anz3BR'!$D$2:$H$2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'2Anz3BR'!$D$5:$H$5</c:f>
              <c:numCache>
                <c:formatCode>#,##0</c:formatCode>
                <c:ptCount val="5"/>
                <c:pt idx="0">
                  <c:v>1982</c:v>
                </c:pt>
                <c:pt idx="1">
                  <c:v>1813</c:v>
                </c:pt>
                <c:pt idx="2">
                  <c:v>1988</c:v>
                </c:pt>
                <c:pt idx="3">
                  <c:v>1797</c:v>
                </c:pt>
                <c:pt idx="4">
                  <c:v>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11-4C98-BA8C-CD8FB310D26F}"/>
            </c:ext>
          </c:extLst>
        </c:ser>
        <c:ser>
          <c:idx val="3"/>
          <c:order val="3"/>
          <c:tx>
            <c:strRef>
              <c:f>'2Anz3BR'!$C$6</c:f>
              <c:strCache>
                <c:ptCount val="1"/>
                <c:pt idx="0">
                  <c:v>Bezirksregierung Köln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865159672412884E-2"/>
                  <c:y val="-3.2223366342697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11-4C98-BA8C-CD8FB310D26F}"/>
                </c:ext>
              </c:extLst>
            </c:dLbl>
            <c:dLbl>
              <c:idx val="1"/>
              <c:layout>
                <c:manualLayout>
                  <c:x val="8.4661744676124834E-3"/>
                  <c:y val="-2.6126777905800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11-4C98-BA8C-CD8FB310D26F}"/>
                </c:ext>
              </c:extLst>
            </c:dLbl>
            <c:dLbl>
              <c:idx val="2"/>
              <c:layout>
                <c:manualLayout>
                  <c:x val="2.1636737222991892E-2"/>
                  <c:y val="-4.98062438354661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11-4C98-BA8C-CD8FB310D26F}"/>
                </c:ext>
              </c:extLst>
            </c:dLbl>
            <c:dLbl>
              <c:idx val="3"/>
              <c:layout>
                <c:manualLayout>
                  <c:x val="2.1097481133343855E-2"/>
                  <c:y val="-2.58118683147105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11-4C98-BA8C-CD8FB310D26F}"/>
                </c:ext>
              </c:extLst>
            </c:dLbl>
            <c:dLbl>
              <c:idx val="4"/>
              <c:layout>
                <c:manualLayout>
                  <c:x val="1.8936072578900912E-2"/>
                  <c:y val="-1.04619397052762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11-4C98-BA8C-CD8FB310D26F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'2Anz3BR'!$D$2:$H$2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'2Anz3BR'!$D$6:$H$6</c:f>
              <c:numCache>
                <c:formatCode>#,##0</c:formatCode>
                <c:ptCount val="5"/>
                <c:pt idx="0">
                  <c:v>1824</c:v>
                </c:pt>
                <c:pt idx="1">
                  <c:v>1826</c:v>
                </c:pt>
                <c:pt idx="2">
                  <c:v>1673</c:v>
                </c:pt>
                <c:pt idx="3">
                  <c:v>1707</c:v>
                </c:pt>
                <c:pt idx="4">
                  <c:v>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11-4C98-BA8C-CD8FB310D26F}"/>
            </c:ext>
          </c:extLst>
        </c:ser>
        <c:ser>
          <c:idx val="4"/>
          <c:order val="4"/>
          <c:tx>
            <c:strRef>
              <c:f>'2Anz3BR'!$C$7</c:f>
              <c:strCache>
                <c:ptCount val="1"/>
                <c:pt idx="0">
                  <c:v>Bezirksregierung Münster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0378619153675E-2"/>
                  <c:y val="-3.2409658078107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11-4C98-BA8C-CD8FB310D26F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'2Anz3BR'!$D$2:$H$2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'2Anz3BR'!$D$7:$H$7</c:f>
              <c:numCache>
                <c:formatCode>#,##0</c:formatCode>
                <c:ptCount val="5"/>
                <c:pt idx="0">
                  <c:v>683</c:v>
                </c:pt>
                <c:pt idx="1">
                  <c:v>603</c:v>
                </c:pt>
                <c:pt idx="2">
                  <c:v>649</c:v>
                </c:pt>
                <c:pt idx="3">
                  <c:v>727</c:v>
                </c:pt>
                <c:pt idx="4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11-4C98-BA8C-CD8FB310D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93632"/>
        <c:axId val="99895168"/>
      </c:barChart>
      <c:catAx>
        <c:axId val="99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9989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99893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tr"/>
      <c:layout>
        <c:manualLayout>
          <c:xMode val="edge"/>
          <c:yMode val="edge"/>
          <c:x val="0.80537710651407879"/>
          <c:y val="0.1536865986063847"/>
          <c:w val="0.17201514961652853"/>
          <c:h val="0.444882210497618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Anzahl der nach § 3 Abs. 2 LHundG gemeldeten  Hunde im Land NRW</a:t>
            </a:r>
          </a:p>
        </c:rich>
      </c:tx>
      <c:layout>
        <c:manualLayout>
          <c:xMode val="edge"/>
          <c:yMode val="edge"/>
          <c:x val="0.14379479457498093"/>
          <c:y val="8.3670715249662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2098188721744"/>
          <c:y val="0.28744996095719128"/>
          <c:w val="0.52554869399305715"/>
          <c:h val="0.546559784918603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'2Anz3BR'!$C$3</c:f>
              <c:strCache>
                <c:ptCount val="1"/>
                <c:pt idx="0">
                  <c:v>Bezirksregierung Arnsberg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'2Anz3BR'!$F$2:$H$2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'2Anz3BR'!$F$3:$H$3</c:f>
              <c:numCache>
                <c:formatCode>#,##0</c:formatCode>
                <c:ptCount val="3"/>
                <c:pt idx="0">
                  <c:v>1270</c:v>
                </c:pt>
                <c:pt idx="1">
                  <c:v>1265</c:v>
                </c:pt>
                <c:pt idx="2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F-468E-8D62-799ACDA3AAAD}"/>
            </c:ext>
          </c:extLst>
        </c:ser>
        <c:ser>
          <c:idx val="1"/>
          <c:order val="1"/>
          <c:tx>
            <c:strRef>
              <c:f>'2Anz3BR'!$C$4</c:f>
              <c:strCache>
                <c:ptCount val="1"/>
                <c:pt idx="0">
                  <c:v>Bezirksregierung Detmold</c:v>
                </c:pt>
              </c:strCache>
            </c:strRef>
          </c:tx>
          <c:invertIfNegative val="0"/>
          <c:cat>
            <c:numRef>
              <c:f>'2Anz3BR'!$F$2:$H$2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'2Anz3BR'!$F$4:$H$4</c:f>
              <c:numCache>
                <c:formatCode>#,##0</c:formatCode>
                <c:ptCount val="3"/>
                <c:pt idx="0">
                  <c:v>659</c:v>
                </c:pt>
                <c:pt idx="1">
                  <c:v>677</c:v>
                </c:pt>
                <c:pt idx="2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F-468E-8D62-799ACDA3AAAD}"/>
            </c:ext>
          </c:extLst>
        </c:ser>
        <c:ser>
          <c:idx val="2"/>
          <c:order val="2"/>
          <c:tx>
            <c:strRef>
              <c:f>'2Anz3BR'!$C$5</c:f>
              <c:strCache>
                <c:ptCount val="1"/>
                <c:pt idx="0">
                  <c:v>Bezirksregierung Düsseldorf</c:v>
                </c:pt>
              </c:strCache>
            </c:strRef>
          </c:tx>
          <c:invertIfNegative val="0"/>
          <c:cat>
            <c:numRef>
              <c:f>'2Anz3BR'!$F$2:$H$2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'2Anz3BR'!$F$5:$H$5</c:f>
              <c:numCache>
                <c:formatCode>#,##0</c:formatCode>
                <c:ptCount val="3"/>
                <c:pt idx="0">
                  <c:v>1988</c:v>
                </c:pt>
                <c:pt idx="1">
                  <c:v>1797</c:v>
                </c:pt>
                <c:pt idx="2">
                  <c:v>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FF-468E-8D62-799ACDA3AAAD}"/>
            </c:ext>
          </c:extLst>
        </c:ser>
        <c:ser>
          <c:idx val="3"/>
          <c:order val="3"/>
          <c:tx>
            <c:strRef>
              <c:f>'2Anz3BR'!$C$6</c:f>
              <c:strCache>
                <c:ptCount val="1"/>
                <c:pt idx="0">
                  <c:v>Bezirksregierung Köln</c:v>
                </c:pt>
              </c:strCache>
            </c:strRef>
          </c:tx>
          <c:invertIfNegative val="0"/>
          <c:cat>
            <c:numRef>
              <c:f>'2Anz3BR'!$F$2:$H$2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'2Anz3BR'!$F$6:$H$6</c:f>
              <c:numCache>
                <c:formatCode>#,##0</c:formatCode>
                <c:ptCount val="3"/>
                <c:pt idx="0">
                  <c:v>1673</c:v>
                </c:pt>
                <c:pt idx="1">
                  <c:v>1707</c:v>
                </c:pt>
                <c:pt idx="2">
                  <c:v>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FF-468E-8D62-799ACDA3AAAD}"/>
            </c:ext>
          </c:extLst>
        </c:ser>
        <c:ser>
          <c:idx val="4"/>
          <c:order val="4"/>
          <c:tx>
            <c:strRef>
              <c:f>'2Anz3BR'!$C$7</c:f>
              <c:strCache>
                <c:ptCount val="1"/>
                <c:pt idx="0">
                  <c:v>Bezirksregierung Münster</c:v>
                </c:pt>
              </c:strCache>
            </c:strRef>
          </c:tx>
          <c:invertIfNegative val="0"/>
          <c:cat>
            <c:numRef>
              <c:f>'2Anz3BR'!$F$2:$H$2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'2Anz3BR'!$F$7:$H$7</c:f>
              <c:numCache>
                <c:formatCode>#,##0</c:formatCode>
                <c:ptCount val="3"/>
                <c:pt idx="0">
                  <c:v>649</c:v>
                </c:pt>
                <c:pt idx="1">
                  <c:v>727</c:v>
                </c:pt>
                <c:pt idx="2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FF-468E-8D62-799ACDA3A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04416"/>
        <c:axId val="101005952"/>
      </c:barChart>
      <c:catAx>
        <c:axId val="1010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00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00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004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00951147998392"/>
          <c:y val="0.27530397789181571"/>
          <c:w val="0.27578711914956111"/>
          <c:h val="0.564888903057158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Vorfälle mit Hunden nach § 3 Absatz 2 LHundG NRW</a:t>
            </a:r>
          </a:p>
          <a:p>
            <a:pPr>
              <a:defRPr/>
            </a:pPr>
            <a:r>
              <a:rPr lang="de-DE"/>
              <a:t>in den Jahren 2021 - 2025 nach absoluten Zahlen </a:t>
            </a:r>
          </a:p>
        </c:rich>
      </c:tx>
      <c:layout>
        <c:manualLayout>
          <c:xMode val="edge"/>
          <c:yMode val="edge"/>
          <c:x val="0.20013803726164373"/>
          <c:y val="1.3267288676034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765486501126"/>
          <c:y val="0.17349463970064966"/>
          <c:w val="0.79129033503165036"/>
          <c:h val="0.62537856604419317"/>
        </c:manualLayout>
      </c:layout>
      <c:lineChart>
        <c:grouping val="standard"/>
        <c:varyColors val="0"/>
        <c:ser>
          <c:idx val="0"/>
          <c:order val="0"/>
          <c:tx>
            <c:strRef>
              <c:f>'3Vorfälle§3'!$A$2</c:f>
              <c:strCache>
                <c:ptCount val="1"/>
                <c:pt idx="0">
                  <c:v>Mensch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'3Vorfälle§3'!$B$1:$F$1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'3Vorfälle§3'!$B$2:$F$2</c:f>
              <c:numCache>
                <c:formatCode>#,##0</c:formatCode>
                <c:ptCount val="5"/>
                <c:pt idx="0">
                  <c:v>32</c:v>
                </c:pt>
                <c:pt idx="1">
                  <c:v>15</c:v>
                </c:pt>
                <c:pt idx="2">
                  <c:v>24</c:v>
                </c:pt>
                <c:pt idx="3">
                  <c:v>24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B-453E-9B16-19316DC87390}"/>
            </c:ext>
          </c:extLst>
        </c:ser>
        <c:ser>
          <c:idx val="1"/>
          <c:order val="1"/>
          <c:tx>
            <c:strRef>
              <c:f>'3Vorfälle§3'!$A$3</c:f>
              <c:strCache>
                <c:ptCount val="1"/>
                <c:pt idx="0">
                  <c:v>Tier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BB-453E-9B16-19316DC8739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BB-453E-9B16-19316DC8739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BB-453E-9B16-19316DC8739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BB-453E-9B16-19316DC8739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BB-453E-9B16-19316DC873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'3Vorfälle§3'!$B$1:$F$1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'3Vorfälle§3'!$B$3:$F$3</c:f>
              <c:numCache>
                <c:formatCode>#,##0</c:formatCode>
                <c:ptCount val="5"/>
                <c:pt idx="0">
                  <c:v>54</c:v>
                </c:pt>
                <c:pt idx="1">
                  <c:v>31</c:v>
                </c:pt>
                <c:pt idx="2">
                  <c:v>38</c:v>
                </c:pt>
                <c:pt idx="3">
                  <c:v>32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BB-453E-9B16-19316DC87390}"/>
            </c:ext>
          </c:extLst>
        </c:ser>
        <c:ser>
          <c:idx val="2"/>
          <c:order val="2"/>
          <c:tx>
            <c:strRef>
              <c:f>'3Vorfälle§3'!$A$4</c:f>
              <c:strCache>
                <c:ptCount val="1"/>
                <c:pt idx="0">
                  <c:v>sonstige Vorfälle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BB-453E-9B16-19316DC87390}"/>
                </c:ext>
              </c:extLst>
            </c:dLbl>
            <c:dLbl>
              <c:idx val="1"/>
              <c:layout>
                <c:manualLayout>
                  <c:x val="-2.9411764705882353E-2"/>
                  <c:y val="1.94363459669582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BB-453E-9B16-19316DC8739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BB-453E-9B16-19316DC8739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BB-453E-9B16-19316DC8739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BB-453E-9B16-19316DC873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'3Vorfälle§3'!$B$1:$F$1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'3Vorfälle§3'!$B$4:$F$4</c:f>
              <c:numCache>
                <c:formatCode>General</c:formatCode>
                <c:ptCount val="5"/>
                <c:pt idx="0">
                  <c:v>28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3BB-453E-9B16-19316DC8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5392"/>
        <c:axId val="109289472"/>
      </c:lineChart>
      <c:catAx>
        <c:axId val="1092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928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8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9275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Entwicklung der Anzahl der gefährlichen Hunde nach
 § 10 Absatz 1 LHundG NRW in den letzten 20 Jahren</a:t>
            </a:r>
          </a:p>
        </c:rich>
      </c:tx>
      <c:layout>
        <c:manualLayout>
          <c:xMode val="edge"/>
          <c:yMode val="edge"/>
          <c:x val="0.24551734721947996"/>
          <c:y val="3.101299465059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1168862931381"/>
          <c:y val="0.16319499781289948"/>
          <c:w val="0.80247051792348356"/>
          <c:h val="0.64930775725557877"/>
        </c:manualLayout>
      </c:layout>
      <c:lineChart>
        <c:grouping val="stacked"/>
        <c:varyColors val="0"/>
        <c:ser>
          <c:idx val="0"/>
          <c:order val="0"/>
          <c:tx>
            <c:strRef>
              <c:f>'4Anz10'!$A$2</c:f>
              <c:strCache>
                <c:ptCount val="1"/>
                <c:pt idx="0">
                  <c:v>Anzahl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408301507221794E-2"/>
                  <c:y val="-5.4769682715280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5F-48FA-8BCF-AF5121D59E7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5F-48FA-8BCF-AF5121D59E7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F5F-48FA-8BCF-AF5121D59E7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5F-48FA-8BCF-AF5121D59E7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F5F-48FA-8BCF-AF5121D59E73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5F-48FA-8BCF-AF5121D59E73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F5F-48FA-8BCF-AF5121D59E73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5F-48FA-8BCF-AF5121D59E73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F5F-48FA-8BCF-AF5121D59E73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5F-48FA-8BCF-AF5121D59E73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 algn="ctr" rtl="0"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F5F-48FA-8BCF-AF5121D59E73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 algn="ctr" rtl="0">
                    <a:defRPr/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5F-48FA-8BCF-AF5121D59E73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5F-48FA-8BCF-AF5121D59E73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5F-48FA-8BCF-AF5121D59E73}"/>
                </c:ext>
              </c:extLst>
            </c:dLbl>
            <c:dLbl>
              <c:idx val="17"/>
              <c:layout>
                <c:manualLayout>
                  <c:x val="-4.1370718794074189E-2"/>
                  <c:y val="3.4215322412580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3A-40AE-BB86-B252789C9A8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'4Anz10'!$B$1:$U$1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'4Anz10'!$B$2:$U$2</c:f>
              <c:numCache>
                <c:formatCode>#,##0</c:formatCode>
                <c:ptCount val="20"/>
                <c:pt idx="0">
                  <c:v>12389</c:v>
                </c:pt>
                <c:pt idx="1">
                  <c:v>12049</c:v>
                </c:pt>
                <c:pt idx="2">
                  <c:v>12106</c:v>
                </c:pt>
                <c:pt idx="3">
                  <c:v>11886</c:v>
                </c:pt>
                <c:pt idx="4">
                  <c:v>11597</c:v>
                </c:pt>
                <c:pt idx="5">
                  <c:v>11094</c:v>
                </c:pt>
                <c:pt idx="6">
                  <c:v>10465</c:v>
                </c:pt>
                <c:pt idx="7">
                  <c:v>10145</c:v>
                </c:pt>
                <c:pt idx="8">
                  <c:v>9389</c:v>
                </c:pt>
                <c:pt idx="9">
                  <c:v>9591</c:v>
                </c:pt>
                <c:pt idx="10">
                  <c:v>9627</c:v>
                </c:pt>
                <c:pt idx="11">
                  <c:v>9873</c:v>
                </c:pt>
                <c:pt idx="12">
                  <c:v>9432</c:v>
                </c:pt>
                <c:pt idx="13">
                  <c:v>9005</c:v>
                </c:pt>
                <c:pt idx="14">
                  <c:v>9096</c:v>
                </c:pt>
                <c:pt idx="15">
                  <c:v>9079</c:v>
                </c:pt>
                <c:pt idx="16">
                  <c:v>8860</c:v>
                </c:pt>
                <c:pt idx="17">
                  <c:v>8827</c:v>
                </c:pt>
                <c:pt idx="18">
                  <c:v>8104</c:v>
                </c:pt>
                <c:pt idx="19">
                  <c:v>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F5F-48FA-8BCF-AF5121D5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08853120"/>
        <c:axId val="108854656"/>
      </c:lineChart>
      <c:catAx>
        <c:axId val="1088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de-DE"/>
          </a:p>
        </c:txPr>
        <c:crossAx val="1088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85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8853120"/>
        <c:crosses val="autoZero"/>
        <c:crossBetween val="between"/>
        <c:min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420360190825206"/>
          <c:y val="0.53703776611256926"/>
          <c:w val="0.12419627584464117"/>
          <c:h val="6.01546952137709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50"/>
              <a:t>Anzahl der nach § 10 Absatz 1 LHundG NRW gemeldeten Hunde</a:t>
            </a:r>
          </a:p>
          <a:p>
            <a:pPr>
              <a:defRPr/>
            </a:pPr>
            <a:r>
              <a:rPr lang="de-DE" sz="1050"/>
              <a:t> von 2021 bis 2025</a:t>
            </a:r>
          </a:p>
        </c:rich>
      </c:tx>
      <c:layout>
        <c:manualLayout>
          <c:xMode val="edge"/>
          <c:yMode val="edge"/>
          <c:x val="0.11472880484811181"/>
          <c:y val="2.53404734529597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62807598727591"/>
          <c:y val="0.15659989469705743"/>
          <c:w val="0.72080647670600084"/>
          <c:h val="0.73154522237053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'5Anz10BR'!$A$3</c:f>
              <c:strCache>
                <c:ptCount val="1"/>
                <c:pt idx="0">
                  <c:v>Bezirksregierung Arnsberg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'5Anz10BR'!$B$2:$F$2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'5Anz10BR'!$B$3:$F$3</c:f>
              <c:numCache>
                <c:formatCode>#,##0</c:formatCode>
                <c:ptCount val="5"/>
                <c:pt idx="0">
                  <c:v>1706</c:v>
                </c:pt>
                <c:pt idx="1">
                  <c:v>1707</c:v>
                </c:pt>
                <c:pt idx="2">
                  <c:v>1618</c:v>
                </c:pt>
                <c:pt idx="3">
                  <c:v>1463</c:v>
                </c:pt>
                <c:pt idx="4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2-4E20-AE76-AF31A4588F74}"/>
            </c:ext>
          </c:extLst>
        </c:ser>
        <c:ser>
          <c:idx val="1"/>
          <c:order val="1"/>
          <c:tx>
            <c:strRef>
              <c:f>'5Anz10BR'!$A$4</c:f>
              <c:strCache>
                <c:ptCount val="1"/>
                <c:pt idx="0">
                  <c:v>Bezirksregierung Detmold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'5Anz10BR'!$B$2:$F$2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'5Anz10BR'!$B$4:$F$4</c:f>
              <c:numCache>
                <c:formatCode>#,##0</c:formatCode>
                <c:ptCount val="5"/>
                <c:pt idx="0">
                  <c:v>748</c:v>
                </c:pt>
                <c:pt idx="1">
                  <c:v>842</c:v>
                </c:pt>
                <c:pt idx="2">
                  <c:v>777</c:v>
                </c:pt>
                <c:pt idx="3">
                  <c:v>696</c:v>
                </c:pt>
                <c:pt idx="4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2-4E20-AE76-AF31A4588F74}"/>
            </c:ext>
          </c:extLst>
        </c:ser>
        <c:ser>
          <c:idx val="2"/>
          <c:order val="2"/>
          <c:tx>
            <c:strRef>
              <c:f>'5Anz10BR'!$A$5</c:f>
              <c:strCache>
                <c:ptCount val="1"/>
                <c:pt idx="0">
                  <c:v>Bezirksregierung Düsseldorf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2.215508208560996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E2-4E20-AE76-AF31A4588F74}"/>
                </c:ext>
              </c:extLst>
            </c:dLbl>
            <c:dLbl>
              <c:idx val="2"/>
              <c:layout>
                <c:manualLayout>
                  <c:x val="-1.53920130601836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5-44D9-BB42-81D8616AE958}"/>
                </c:ext>
              </c:extLst>
            </c:dLbl>
            <c:dLbl>
              <c:idx val="3"/>
              <c:layout>
                <c:manualLayout>
                  <c:x val="-1.6112786971352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E2-4E20-AE76-AF31A4588F74}"/>
                </c:ext>
              </c:extLst>
            </c:dLbl>
            <c:dLbl>
              <c:idx val="4"/>
              <c:layout>
                <c:manualLayout>
                  <c:x val="-1.61127869713527E-2"/>
                  <c:y val="5.96569724086502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E2-4E20-AE76-AF31A4588F74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'5Anz10BR'!$B$2:$F$2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'5Anz10BR'!$B$5:$F$5</c:f>
              <c:numCache>
                <c:formatCode>#,##0</c:formatCode>
                <c:ptCount val="5"/>
                <c:pt idx="0">
                  <c:v>2833</c:v>
                </c:pt>
                <c:pt idx="1">
                  <c:v>2446</c:v>
                </c:pt>
                <c:pt idx="2">
                  <c:v>2741</c:v>
                </c:pt>
                <c:pt idx="3">
                  <c:v>2594</c:v>
                </c:pt>
                <c:pt idx="4">
                  <c:v>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E2-4E20-AE76-AF31A4588F74}"/>
            </c:ext>
          </c:extLst>
        </c:ser>
        <c:ser>
          <c:idx val="3"/>
          <c:order val="3"/>
          <c:tx>
            <c:strRef>
              <c:f>'5Anz10BR'!$A$6</c:f>
              <c:strCache>
                <c:ptCount val="1"/>
                <c:pt idx="0">
                  <c:v>Bezirksregierung Köln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4098688599933615E-2"/>
                  <c:y val="-5.96569724086502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E2-4E20-AE76-AF31A4588F74}"/>
                </c:ext>
              </c:extLst>
            </c:dLbl>
            <c:dLbl>
              <c:idx val="2"/>
              <c:layout>
                <c:manualLayout>
                  <c:x val="1.5932551471588556E-2"/>
                  <c:y val="3.04182509505697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E2-4E20-AE76-AF31A4588F74}"/>
                </c:ext>
              </c:extLst>
            </c:dLbl>
            <c:dLbl>
              <c:idx val="3"/>
              <c:layout>
                <c:manualLayout>
                  <c:x val="1.208459022851445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E2-4E20-AE76-AF31A4588F74}"/>
                </c:ext>
              </c:extLst>
            </c:dLbl>
            <c:dLbl>
              <c:idx val="4"/>
              <c:layout>
                <c:manualLayout>
                  <c:x val="1.208459022851452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E2-4E20-AE76-AF31A4588F74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'5Anz10BR'!$B$2:$F$2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'5Anz10BR'!$B$6:$F$6</c:f>
              <c:numCache>
                <c:formatCode>#,##0</c:formatCode>
                <c:ptCount val="5"/>
                <c:pt idx="0">
                  <c:v>2781</c:v>
                </c:pt>
                <c:pt idx="1">
                  <c:v>2764</c:v>
                </c:pt>
                <c:pt idx="2">
                  <c:v>2654</c:v>
                </c:pt>
                <c:pt idx="3">
                  <c:v>2370</c:v>
                </c:pt>
                <c:pt idx="4">
                  <c:v>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E2-4E20-AE76-AF31A4588F74}"/>
            </c:ext>
          </c:extLst>
        </c:ser>
        <c:ser>
          <c:idx val="4"/>
          <c:order val="4"/>
          <c:tx>
            <c:strRef>
              <c:f>'5Anz10BR'!$A$7</c:f>
              <c:strCache>
                <c:ptCount val="1"/>
                <c:pt idx="0">
                  <c:v>Bezirksregierung Münster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'5Anz10BR'!$B$2:$F$2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'5Anz10BR'!$B$7:$F$7</c:f>
              <c:numCache>
                <c:formatCode>#,##0</c:formatCode>
                <c:ptCount val="5"/>
                <c:pt idx="0">
                  <c:v>1011</c:v>
                </c:pt>
                <c:pt idx="1">
                  <c:v>1101</c:v>
                </c:pt>
                <c:pt idx="2">
                  <c:v>1037</c:v>
                </c:pt>
                <c:pt idx="3">
                  <c:v>981</c:v>
                </c:pt>
                <c:pt idx="4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A-4F5B-A19D-3BA4BFB7DF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344256"/>
        <c:axId val="109345792"/>
      </c:barChart>
      <c:catAx>
        <c:axId val="10934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934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9344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94610463066588"/>
          <c:y val="0.17602353397100531"/>
          <c:w val="0.14465451415966077"/>
          <c:h val="0.320364626462732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Vorfälle mit Hunden nach § 10 Absatz 1 LHundG NRW</a:t>
            </a:r>
          </a:p>
          <a:p>
            <a:pPr>
              <a:defRPr/>
            </a:pPr>
            <a:r>
              <a:rPr lang="de-DE"/>
              <a:t>in den Jahren 2021 - 2025 nach absoluten Zahlen </a:t>
            </a:r>
          </a:p>
        </c:rich>
      </c:tx>
      <c:layout>
        <c:manualLayout>
          <c:xMode val="edge"/>
          <c:yMode val="edge"/>
          <c:x val="0.17091364045912172"/>
          <c:y val="2.77385764464901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06808166445527"/>
          <c:y val="0.18126914957802701"/>
          <c:w val="0.76923144114720865"/>
          <c:h val="0.62537856604419317"/>
        </c:manualLayout>
      </c:layout>
      <c:lineChart>
        <c:grouping val="standard"/>
        <c:varyColors val="0"/>
        <c:ser>
          <c:idx val="0"/>
          <c:order val="0"/>
          <c:tx>
            <c:strRef>
              <c:f>'6Vorf10'!$A$3</c:f>
              <c:strCache>
                <c:ptCount val="1"/>
                <c:pt idx="0">
                  <c:v>Mensch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'6Vorf10'!$B$2:$F$2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'6Vorf10'!$B$3:$F$3</c:f>
              <c:numCache>
                <c:formatCode>#,##0</c:formatCode>
                <c:ptCount val="5"/>
                <c:pt idx="0">
                  <c:v>40</c:v>
                </c:pt>
                <c:pt idx="1">
                  <c:v>48</c:v>
                </c:pt>
                <c:pt idx="2">
                  <c:v>46</c:v>
                </c:pt>
                <c:pt idx="3">
                  <c:v>46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DB-4F77-983B-02A2857F268A}"/>
            </c:ext>
          </c:extLst>
        </c:ser>
        <c:ser>
          <c:idx val="1"/>
          <c:order val="1"/>
          <c:tx>
            <c:strRef>
              <c:f>'6Vorf10'!$A$4</c:f>
              <c:strCache>
                <c:ptCount val="1"/>
                <c:pt idx="0">
                  <c:v>Tier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'6Vorf10'!$B$2:$F$2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'6Vorf10'!$B$4:$F$4</c:f>
              <c:numCache>
                <c:formatCode>#,##0</c:formatCode>
                <c:ptCount val="5"/>
                <c:pt idx="0">
                  <c:v>69</c:v>
                </c:pt>
                <c:pt idx="1">
                  <c:v>45</c:v>
                </c:pt>
                <c:pt idx="2">
                  <c:v>40</c:v>
                </c:pt>
                <c:pt idx="3">
                  <c:v>53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3DB-4F77-983B-02A2857F268A}"/>
            </c:ext>
          </c:extLst>
        </c:ser>
        <c:ser>
          <c:idx val="2"/>
          <c:order val="2"/>
          <c:tx>
            <c:strRef>
              <c:f>'6Vorf10'!$A$5</c:f>
              <c:strCache>
                <c:ptCount val="1"/>
                <c:pt idx="0">
                  <c:v>sonstige Vorfälle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pPr>
              <a:solidFill>
                <a:srgbClr val="FFFF99"/>
              </a:solidFill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'6Vorf10'!$B$2:$F$2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'6Vorf10'!$B$5:$F$5</c:f>
              <c:numCache>
                <c:formatCode>#,##0</c:formatCode>
                <c:ptCount val="5"/>
                <c:pt idx="0">
                  <c:v>24</c:v>
                </c:pt>
                <c:pt idx="1">
                  <c:v>21</c:v>
                </c:pt>
                <c:pt idx="2">
                  <c:v>20</c:v>
                </c:pt>
                <c:pt idx="3">
                  <c:v>18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3DB-4F77-983B-02A2857F268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422848"/>
        <c:axId val="110897408"/>
      </c:lineChart>
      <c:catAx>
        <c:axId val="1094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089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9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9422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7</xdr:row>
      <xdr:rowOff>118110</xdr:rowOff>
    </xdr:from>
    <xdr:to>
      <xdr:col>8</xdr:col>
      <xdr:colOff>60960</xdr:colOff>
      <xdr:row>25</xdr:row>
      <xdr:rowOff>99060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728B6AA-2263-4327-B083-F99A46B0D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596901</xdr:colOff>
      <xdr:row>8</xdr:row>
      <xdr:rowOff>22861</xdr:rowOff>
    </xdr:from>
    <xdr:to>
      <xdr:col>9</xdr:col>
      <xdr:colOff>312420</xdr:colOff>
      <xdr:row>31</xdr:row>
      <xdr:rowOff>162560</xdr:rowOff>
    </xdr:to>
    <xdr:graphicFrame macro="">
      <xdr:nvGraphicFramePr>
        <xdr:cNvPr id="2" name="Diagramm 8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393706</xdr:colOff>
      <xdr:row>8</xdr:row>
      <xdr:rowOff>86366</xdr:rowOff>
    </xdr:from>
    <xdr:to>
      <xdr:col>8</xdr:col>
      <xdr:colOff>632460</xdr:colOff>
      <xdr:row>28</xdr:row>
      <xdr:rowOff>10160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E8EBD2F-0C48-4190-950B-7390F0BD1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379736</xdr:colOff>
      <xdr:row>8</xdr:row>
      <xdr:rowOff>12706</xdr:rowOff>
    </xdr:from>
    <xdr:to>
      <xdr:col>9</xdr:col>
      <xdr:colOff>337820</xdr:colOff>
      <xdr:row>28</xdr:row>
      <xdr:rowOff>160020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51CF040-17BF-4BF4-9870-12B6AE90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330206</xdr:colOff>
      <xdr:row>6</xdr:row>
      <xdr:rowOff>160026</xdr:rowOff>
    </xdr:from>
    <xdr:to>
      <xdr:col>12</xdr:col>
      <xdr:colOff>38100</xdr:colOff>
      <xdr:row>29</xdr:row>
      <xdr:rowOff>69850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6224E77-5D33-4D79-AD4B-383858582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397516</xdr:colOff>
      <xdr:row>6</xdr:row>
      <xdr:rowOff>160020</xdr:rowOff>
    </xdr:from>
    <xdr:to>
      <xdr:col>11</xdr:col>
      <xdr:colOff>350520</xdr:colOff>
      <xdr:row>29</xdr:row>
      <xdr:rowOff>15240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1EBCCD6-51FC-401F-99FF-27CE9EB7D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6" name="Line 16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ShapeType="1"/>
        </xdr:cNvSpPr>
      </xdr:nvSpPr>
      <xdr:spPr bwMode="auto">
        <a:xfrm>
          <a:off x="11201400" y="1781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142875</xdr:rowOff>
    </xdr:from>
    <xdr:to>
      <xdr:col>1</xdr:col>
      <xdr:colOff>0</xdr:colOff>
      <xdr:row>6</xdr:row>
      <xdr:rowOff>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>
          <a:spLocks noChangeShapeType="1"/>
        </xdr:cNvSpPr>
      </xdr:nvSpPr>
      <xdr:spPr bwMode="auto">
        <a:xfrm>
          <a:off x="11201400" y="17621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139699</xdr:colOff>
      <xdr:row>5</xdr:row>
      <xdr:rowOff>128658</xdr:rowOff>
    </xdr:from>
    <xdr:to>
      <xdr:col>8</xdr:col>
      <xdr:colOff>654879</xdr:colOff>
      <xdr:row>37</xdr:row>
      <xdr:rowOff>131419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7EE0AA1-9424-4E76-98B9-D74A9375F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24</xdr:col>
      <xdr:colOff>209436</xdr:colOff>
      <xdr:row>10</xdr:row>
      <xdr:rowOff>63465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C336E52-63B4-44DF-8D8F-750487828633}"/>
            </a:ext>
          </a:extLst>
        </xdr:cNvPr>
        <xdr:cNvSpPr/>
      </xdr:nvSpPr>
      <xdr:spPr>
        <a:xfrm>
          <a:off x="0" y="0"/>
          <a:ext cx="18497436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NICHT BEARBEITEN </a:t>
          </a:r>
        </a:p>
        <a:p>
          <a:pPr algn="ctr"/>
          <a:r>
            <a:rPr lang="de-D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Ist nur für die Verwendung durch Esri vorgesehen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7</xdr:row>
      <xdr:rowOff>64770</xdr:rowOff>
    </xdr:from>
    <xdr:to>
      <xdr:col>8</xdr:col>
      <xdr:colOff>632460</xdr:colOff>
      <xdr:row>27</xdr:row>
      <xdr:rowOff>45720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CF6E983-DC91-41CF-A7AD-6E60D9E48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225136</xdr:colOff>
      <xdr:row>3</xdr:row>
      <xdr:rowOff>152687</xdr:rowOff>
    </xdr:from>
    <xdr:to>
      <xdr:col>8</xdr:col>
      <xdr:colOff>4616</xdr:colOff>
      <xdr:row>24</xdr:row>
      <xdr:rowOff>2309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454660</xdr:colOff>
      <xdr:row>8</xdr:row>
      <xdr:rowOff>139065</xdr:rowOff>
    </xdr:from>
    <xdr:to>
      <xdr:col>11</xdr:col>
      <xdr:colOff>312420</xdr:colOff>
      <xdr:row>32</xdr:row>
      <xdr:rowOff>60960</xdr:rowOff>
    </xdr:to>
    <xdr:graphicFrame macro="">
      <xdr:nvGraphicFramePr>
        <xdr:cNvPr id="2" name="Diagramm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1402080</xdr:colOff>
      <xdr:row>35</xdr:row>
      <xdr:rowOff>142874</xdr:rowOff>
    </xdr:from>
    <xdr:to>
      <xdr:col>9</xdr:col>
      <xdr:colOff>320040</xdr:colOff>
      <xdr:row>51</xdr:row>
      <xdr:rowOff>53339</xdr:rowOff>
    </xdr:to>
    <xdr:graphicFrame macro="">
      <xdr:nvGraphicFramePr>
        <xdr:cNvPr id="3" name="Diagramm 9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316865</xdr:colOff>
      <xdr:row>5</xdr:row>
      <xdr:rowOff>91440</xdr:rowOff>
    </xdr:from>
    <xdr:to>
      <xdr:col>6</xdr:col>
      <xdr:colOff>701040</xdr:colOff>
      <xdr:row>25</xdr:row>
      <xdr:rowOff>21590</xdr:rowOff>
    </xdr:to>
    <xdr:graphicFrame macro="">
      <xdr:nvGraphicFramePr>
        <xdr:cNvPr id="3" name="Diagramm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419100</xdr:colOff>
      <xdr:row>19</xdr:row>
      <xdr:rowOff>83820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8244840" y="344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349941</xdr:colOff>
      <xdr:row>3</xdr:row>
      <xdr:rowOff>153890</xdr:rowOff>
    </xdr:from>
    <xdr:to>
      <xdr:col>8</xdr:col>
      <xdr:colOff>86139</xdr:colOff>
      <xdr:row>21</xdr:row>
      <xdr:rowOff>106017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11</xdr:row>
      <xdr:rowOff>38735</xdr:rowOff>
    </xdr:from>
    <xdr:to>
      <xdr:col>8</xdr:col>
      <xdr:colOff>99060</xdr:colOff>
      <xdr:row>37</xdr:row>
      <xdr:rowOff>86360</xdr:rowOff>
    </xdr:to>
    <xdr:graphicFrame macro="">
      <xdr:nvGraphicFramePr>
        <xdr:cNvPr id="2" name="Diagramm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6</xdr:row>
      <xdr:rowOff>91440</xdr:rowOff>
    </xdr:from>
    <xdr:to>
      <xdr:col>7</xdr:col>
      <xdr:colOff>358140</xdr:colOff>
      <xdr:row>27</xdr:row>
      <xdr:rowOff>0</xdr:rowOff>
    </xdr:to>
    <xdr:graphicFrame macro="">
      <xdr:nvGraphicFramePr>
        <xdr:cNvPr id="3" name="Diagramm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149225</xdr:rowOff>
    </xdr:from>
    <xdr:to>
      <xdr:col>10</xdr:col>
      <xdr:colOff>182880</xdr:colOff>
      <xdr:row>26</xdr:row>
      <xdr:rowOff>55880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E2B8-69AD-41C9-B3E9-1A8EA0948720}">
  <dimension ref="A1:AE4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2" sqref="B72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124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260</v>
      </c>
      <c r="C6" s="97">
        <v>103</v>
      </c>
      <c r="D6" s="97">
        <v>245</v>
      </c>
      <c r="E6" s="137">
        <v>103</v>
      </c>
      <c r="F6" s="97">
        <v>121</v>
      </c>
      <c r="G6" s="98">
        <f>SUM(B6:F6)</f>
        <v>832</v>
      </c>
      <c r="H6" s="97">
        <v>1</v>
      </c>
      <c r="I6" s="97">
        <v>3</v>
      </c>
      <c r="J6" s="97">
        <v>2</v>
      </c>
      <c r="K6" s="97">
        <v>3</v>
      </c>
      <c r="L6" s="97">
        <v>0</v>
      </c>
      <c r="M6" s="101">
        <f t="shared" ref="M6:M11" si="0">SUM(H6:L6)</f>
        <v>9</v>
      </c>
      <c r="N6" s="99">
        <f>M6*100/$G6</f>
        <v>1.0817307692307692</v>
      </c>
      <c r="O6" s="97">
        <v>3</v>
      </c>
      <c r="P6" s="97">
        <v>3</v>
      </c>
      <c r="Q6" s="97">
        <v>3</v>
      </c>
      <c r="R6" s="97">
        <v>2</v>
      </c>
      <c r="S6" s="97">
        <v>0</v>
      </c>
      <c r="T6" s="101">
        <f t="shared" ref="T6:T11" si="1">SUM(O6:S6)</f>
        <v>11</v>
      </c>
      <c r="U6" s="99">
        <f>T6*100/$G6</f>
        <v>1.3221153846153846</v>
      </c>
      <c r="V6" s="97">
        <v>5</v>
      </c>
      <c r="W6" s="97">
        <v>1</v>
      </c>
      <c r="X6" s="97">
        <v>0</v>
      </c>
      <c r="Y6" s="97">
        <v>0</v>
      </c>
      <c r="Z6" s="97">
        <v>3</v>
      </c>
      <c r="AA6" s="101">
        <f t="shared" ref="AA6:AA11" si="2">SUM(V6:Z6)</f>
        <v>9</v>
      </c>
      <c r="AB6" s="99">
        <f>AA6*100/$G6</f>
        <v>1.0817307692307692</v>
      </c>
      <c r="AC6" s="101"/>
      <c r="AD6" s="101">
        <v>3</v>
      </c>
      <c r="AE6" s="101">
        <v>59</v>
      </c>
    </row>
    <row r="7" spans="1:31" ht="14.4" thickBot="1" x14ac:dyDescent="0.3">
      <c r="A7" s="90" t="s">
        <v>2</v>
      </c>
      <c r="B7" s="97">
        <v>1499</v>
      </c>
      <c r="C7" s="97">
        <v>432</v>
      </c>
      <c r="D7" s="97">
        <v>1589</v>
      </c>
      <c r="E7" s="137">
        <v>917</v>
      </c>
      <c r="F7" s="97">
        <v>701</v>
      </c>
      <c r="G7" s="98">
        <f>SUM(B7:F7)</f>
        <v>5138</v>
      </c>
      <c r="H7" s="97">
        <f>7+4</f>
        <v>11</v>
      </c>
      <c r="I7" s="97">
        <v>2</v>
      </c>
      <c r="J7" s="97">
        <v>9</v>
      </c>
      <c r="K7" s="97">
        <v>4</v>
      </c>
      <c r="L7" s="97">
        <v>0</v>
      </c>
      <c r="M7" s="97">
        <f t="shared" si="0"/>
        <v>26</v>
      </c>
      <c r="N7" s="99">
        <f t="shared" ref="N7:N11" si="3">M7*100/$G7</f>
        <v>0.50603347606072402</v>
      </c>
      <c r="O7" s="97">
        <f>15+3</f>
        <v>18</v>
      </c>
      <c r="P7" s="97">
        <v>2</v>
      </c>
      <c r="Q7" s="97">
        <v>30</v>
      </c>
      <c r="R7" s="97">
        <v>18</v>
      </c>
      <c r="S7" s="97">
        <v>6</v>
      </c>
      <c r="T7" s="97">
        <f t="shared" si="1"/>
        <v>74</v>
      </c>
      <c r="U7" s="99">
        <f t="shared" ref="U7:U11" si="4">T7*100/$G7</f>
        <v>1.4402491241728299</v>
      </c>
      <c r="V7" s="97">
        <v>20</v>
      </c>
      <c r="W7" s="97">
        <v>5</v>
      </c>
      <c r="X7" s="97">
        <v>1</v>
      </c>
      <c r="Y7" s="97">
        <v>6</v>
      </c>
      <c r="Z7" s="97">
        <v>22</v>
      </c>
      <c r="AA7" s="97">
        <f t="shared" si="2"/>
        <v>54</v>
      </c>
      <c r="AB7" s="99">
        <f t="shared" ref="AB7:AB11" si="5">AA7*100/$G7</f>
        <v>1.0509926041261191</v>
      </c>
      <c r="AC7" s="101"/>
      <c r="AD7" s="101">
        <v>16</v>
      </c>
      <c r="AE7" s="101">
        <v>204</v>
      </c>
    </row>
    <row r="8" spans="1:31" ht="14.4" thickBot="1" x14ac:dyDescent="0.3">
      <c r="A8" s="90" t="s">
        <v>14</v>
      </c>
      <c r="B8" s="97">
        <v>158</v>
      </c>
      <c r="C8" s="97">
        <v>116</v>
      </c>
      <c r="D8" s="97">
        <v>252</v>
      </c>
      <c r="E8" s="137">
        <v>174</v>
      </c>
      <c r="F8" s="97">
        <v>75</v>
      </c>
      <c r="G8" s="98">
        <f>SUM(B8:F8)</f>
        <v>775</v>
      </c>
      <c r="H8" s="97">
        <v>0</v>
      </c>
      <c r="I8" s="97">
        <v>0</v>
      </c>
      <c r="J8" s="97">
        <v>3</v>
      </c>
      <c r="K8" s="97">
        <v>0</v>
      </c>
      <c r="L8" s="97">
        <v>0</v>
      </c>
      <c r="M8" s="101">
        <f t="shared" si="0"/>
        <v>3</v>
      </c>
      <c r="N8" s="99">
        <f t="shared" si="3"/>
        <v>0.38709677419354838</v>
      </c>
      <c r="O8" s="97">
        <v>2</v>
      </c>
      <c r="P8" s="97">
        <v>0</v>
      </c>
      <c r="Q8" s="97">
        <v>7</v>
      </c>
      <c r="R8" s="97">
        <v>0</v>
      </c>
      <c r="S8" s="97">
        <v>1</v>
      </c>
      <c r="T8" s="101">
        <f t="shared" si="1"/>
        <v>10</v>
      </c>
      <c r="U8" s="99">
        <f t="shared" si="4"/>
        <v>1.2903225806451613</v>
      </c>
      <c r="V8" s="97">
        <v>0</v>
      </c>
      <c r="W8" s="97">
        <v>0</v>
      </c>
      <c r="X8" s="97">
        <v>0</v>
      </c>
      <c r="Y8" s="97">
        <v>2</v>
      </c>
      <c r="Z8" s="97">
        <v>0</v>
      </c>
      <c r="AA8" s="101">
        <f t="shared" si="2"/>
        <v>2</v>
      </c>
      <c r="AB8" s="99">
        <f t="shared" si="5"/>
        <v>0.25806451612903225</v>
      </c>
      <c r="AC8" s="101"/>
      <c r="AD8" s="101">
        <v>3</v>
      </c>
      <c r="AE8" s="101">
        <v>33</v>
      </c>
    </row>
    <row r="9" spans="1:31" ht="14.4" thickBot="1" x14ac:dyDescent="0.3">
      <c r="A9" s="90" t="s">
        <v>3</v>
      </c>
      <c r="B9" s="97">
        <v>259</v>
      </c>
      <c r="C9" s="97">
        <v>105</v>
      </c>
      <c r="D9" s="97">
        <v>348</v>
      </c>
      <c r="E9" s="137">
        <v>229</v>
      </c>
      <c r="F9" s="97">
        <v>112</v>
      </c>
      <c r="G9" s="98">
        <f>SUM(B9:F9)</f>
        <v>1053</v>
      </c>
      <c r="H9" s="97">
        <v>2</v>
      </c>
      <c r="I9" s="97">
        <v>0</v>
      </c>
      <c r="J9" s="97">
        <v>1</v>
      </c>
      <c r="K9" s="97">
        <v>0</v>
      </c>
      <c r="L9" s="97">
        <v>0</v>
      </c>
      <c r="M9" s="97">
        <f t="shared" si="0"/>
        <v>3</v>
      </c>
      <c r="N9" s="99">
        <f t="shared" si="3"/>
        <v>0.28490028490028491</v>
      </c>
      <c r="O9" s="97">
        <v>1</v>
      </c>
      <c r="P9" s="97">
        <v>0</v>
      </c>
      <c r="Q9" s="97">
        <v>3</v>
      </c>
      <c r="R9" s="97">
        <v>3</v>
      </c>
      <c r="S9" s="97">
        <v>2</v>
      </c>
      <c r="T9" s="97">
        <f t="shared" si="1"/>
        <v>9</v>
      </c>
      <c r="U9" s="99">
        <f t="shared" si="4"/>
        <v>0.85470085470085466</v>
      </c>
      <c r="V9" s="97">
        <v>0</v>
      </c>
      <c r="W9" s="97">
        <v>0</v>
      </c>
      <c r="X9" s="97">
        <v>1</v>
      </c>
      <c r="Y9" s="97">
        <v>2</v>
      </c>
      <c r="Z9" s="97">
        <v>0</v>
      </c>
      <c r="AA9" s="97">
        <f t="shared" si="2"/>
        <v>3</v>
      </c>
      <c r="AB9" s="99">
        <f t="shared" si="5"/>
        <v>0.28490028490028491</v>
      </c>
      <c r="AC9" s="101"/>
      <c r="AD9" s="101">
        <v>0</v>
      </c>
      <c r="AE9" s="101">
        <v>39</v>
      </c>
    </row>
    <row r="10" spans="1:31" ht="23.4" thickBot="1" x14ac:dyDescent="0.3">
      <c r="A10" s="139" t="s">
        <v>23</v>
      </c>
      <c r="B10" s="97">
        <v>1215</v>
      </c>
      <c r="C10" s="97">
        <v>245</v>
      </c>
      <c r="D10" s="97">
        <v>995</v>
      </c>
      <c r="E10" s="137">
        <v>566</v>
      </c>
      <c r="F10" s="97">
        <v>416</v>
      </c>
      <c r="G10" s="98">
        <f>SUM(B10:F10)</f>
        <v>3437</v>
      </c>
      <c r="H10" s="97">
        <v>1</v>
      </c>
      <c r="I10" s="97">
        <v>4</v>
      </c>
      <c r="J10" s="97">
        <v>1</v>
      </c>
      <c r="K10" s="97">
        <v>4</v>
      </c>
      <c r="L10" s="97">
        <v>1</v>
      </c>
      <c r="M10" s="97">
        <f t="shared" si="0"/>
        <v>11</v>
      </c>
      <c r="N10" s="99">
        <f t="shared" si="3"/>
        <v>0.32004655222577827</v>
      </c>
      <c r="O10" s="97">
        <f>2+5</f>
        <v>7</v>
      </c>
      <c r="P10" s="97">
        <v>4</v>
      </c>
      <c r="Q10" s="97">
        <v>8</v>
      </c>
      <c r="R10" s="97">
        <v>17</v>
      </c>
      <c r="S10" s="97">
        <v>6</v>
      </c>
      <c r="T10" s="97">
        <f t="shared" si="1"/>
        <v>42</v>
      </c>
      <c r="U10" s="99">
        <f t="shared" si="4"/>
        <v>1.2219959266802445</v>
      </c>
      <c r="V10" s="97">
        <f>2+26+20</f>
        <v>48</v>
      </c>
      <c r="W10" s="97">
        <v>2</v>
      </c>
      <c r="X10" s="97">
        <v>2</v>
      </c>
      <c r="Y10" s="97">
        <v>7</v>
      </c>
      <c r="Z10" s="97">
        <v>6</v>
      </c>
      <c r="AA10" s="97">
        <f t="shared" si="2"/>
        <v>65</v>
      </c>
      <c r="AB10" s="99">
        <f t="shared" si="5"/>
        <v>1.8911841722432354</v>
      </c>
      <c r="AC10" s="101"/>
      <c r="AD10" s="101">
        <v>5</v>
      </c>
      <c r="AE10" s="101">
        <v>132</v>
      </c>
    </row>
    <row r="11" spans="1:31" s="132" customFormat="1" ht="14.4" thickBot="1" x14ac:dyDescent="0.3">
      <c r="A11" s="124" t="s">
        <v>21</v>
      </c>
      <c r="B11" s="105">
        <f t="shared" ref="B11:L11" si="6">SUM(B6:B10)</f>
        <v>3391</v>
      </c>
      <c r="C11" s="105">
        <f t="shared" si="6"/>
        <v>1001</v>
      </c>
      <c r="D11" s="105">
        <f t="shared" si="6"/>
        <v>3429</v>
      </c>
      <c r="E11" s="105">
        <f t="shared" si="6"/>
        <v>1989</v>
      </c>
      <c r="F11" s="105">
        <f t="shared" si="6"/>
        <v>1425</v>
      </c>
      <c r="G11" s="102">
        <f t="shared" si="6"/>
        <v>11235</v>
      </c>
      <c r="H11" s="111">
        <f t="shared" si="6"/>
        <v>15</v>
      </c>
      <c r="I11" s="111">
        <f t="shared" si="6"/>
        <v>9</v>
      </c>
      <c r="J11" s="111">
        <f t="shared" si="6"/>
        <v>16</v>
      </c>
      <c r="K11" s="111">
        <f t="shared" si="6"/>
        <v>11</v>
      </c>
      <c r="L11" s="111">
        <f t="shared" si="6"/>
        <v>1</v>
      </c>
      <c r="M11" s="103">
        <f t="shared" si="0"/>
        <v>52</v>
      </c>
      <c r="N11" s="104">
        <f t="shared" si="3"/>
        <v>0.46283934134401422</v>
      </c>
      <c r="O11" s="111">
        <f t="shared" ref="O11:S11" si="7">SUM(O6:O10)</f>
        <v>31</v>
      </c>
      <c r="P11" s="111">
        <f t="shared" si="7"/>
        <v>9</v>
      </c>
      <c r="Q11" s="111">
        <f t="shared" si="7"/>
        <v>51</v>
      </c>
      <c r="R11" s="111">
        <f t="shared" si="7"/>
        <v>40</v>
      </c>
      <c r="S11" s="111">
        <f t="shared" si="7"/>
        <v>15</v>
      </c>
      <c r="T11" s="103">
        <f t="shared" si="1"/>
        <v>146</v>
      </c>
      <c r="U11" s="104">
        <f t="shared" si="4"/>
        <v>1.299510458388963</v>
      </c>
      <c r="V11" s="111">
        <f t="shared" ref="V11:Z11" si="8">SUM(V6:V10)</f>
        <v>73</v>
      </c>
      <c r="W11" s="111">
        <f t="shared" si="8"/>
        <v>8</v>
      </c>
      <c r="X11" s="111">
        <f t="shared" si="8"/>
        <v>4</v>
      </c>
      <c r="Y11" s="111">
        <f t="shared" si="8"/>
        <v>17</v>
      </c>
      <c r="Z11" s="111">
        <f t="shared" si="8"/>
        <v>31</v>
      </c>
      <c r="AA11" s="103">
        <f t="shared" si="2"/>
        <v>133</v>
      </c>
      <c r="AB11" s="104">
        <f t="shared" si="5"/>
        <v>1.1838006230529594</v>
      </c>
      <c r="AC11" s="107">
        <f>SUM(AC6:AC10)</f>
        <v>0</v>
      </c>
      <c r="AD11" s="107">
        <f>SUM(AD6:AD10)</f>
        <v>27</v>
      </c>
      <c r="AE11" s="107">
        <f>SUM(AE6:AE10)</f>
        <v>467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16</v>
      </c>
      <c r="C14" s="97">
        <v>8</v>
      </c>
      <c r="D14" s="97">
        <v>26</v>
      </c>
      <c r="E14" s="97">
        <v>25</v>
      </c>
      <c r="F14" s="97">
        <v>18</v>
      </c>
      <c r="G14" s="98">
        <f t="shared" ref="G14:G25" si="9">SUM(B14:F14)</f>
        <v>93</v>
      </c>
      <c r="H14" s="97">
        <v>0</v>
      </c>
      <c r="I14" s="97">
        <v>0</v>
      </c>
      <c r="J14" s="97">
        <v>1</v>
      </c>
      <c r="K14" s="97">
        <v>1</v>
      </c>
      <c r="L14" s="97">
        <v>0</v>
      </c>
      <c r="M14" s="101">
        <f>SUM(H14:L14)</f>
        <v>2</v>
      </c>
      <c r="N14" s="99">
        <f>M14*100/$G14</f>
        <v>2.150537634408602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101">
        <f>SUM(O14:S14)</f>
        <v>0</v>
      </c>
      <c r="U14" s="99">
        <f>T14*100/$G14</f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>AA14*100/$G14</f>
        <v>0</v>
      </c>
      <c r="AC14" s="101"/>
      <c r="AD14" s="101">
        <v>0</v>
      </c>
      <c r="AE14" s="101">
        <v>1</v>
      </c>
    </row>
    <row r="15" spans="1:31" ht="14.4" thickBot="1" x14ac:dyDescent="0.3">
      <c r="A15" s="89" t="s">
        <v>5</v>
      </c>
      <c r="B15" s="97">
        <v>49</v>
      </c>
      <c r="C15" s="97">
        <v>16</v>
      </c>
      <c r="D15" s="97">
        <v>102</v>
      </c>
      <c r="E15" s="97">
        <v>67</v>
      </c>
      <c r="F15" s="97">
        <v>17</v>
      </c>
      <c r="G15" s="98">
        <f t="shared" si="9"/>
        <v>251</v>
      </c>
      <c r="H15" s="97">
        <v>0</v>
      </c>
      <c r="I15" s="97">
        <v>0</v>
      </c>
      <c r="J15" s="97">
        <v>1</v>
      </c>
      <c r="K15" s="97">
        <v>0</v>
      </c>
      <c r="L15" s="97">
        <v>0</v>
      </c>
      <c r="M15" s="97">
        <f t="shared" ref="M15:M25" si="10">SUM(H15:L15)</f>
        <v>1</v>
      </c>
      <c r="N15" s="99">
        <f t="shared" ref="N15:N25" si="11">M15*100/$G15</f>
        <v>0.39840637450199201</v>
      </c>
      <c r="O15" s="97">
        <v>0</v>
      </c>
      <c r="P15" s="97">
        <v>0</v>
      </c>
      <c r="Q15" s="97">
        <v>3</v>
      </c>
      <c r="R15" s="97">
        <v>1</v>
      </c>
      <c r="S15" s="97">
        <v>0</v>
      </c>
      <c r="T15" s="97">
        <f t="shared" ref="T15:T25" si="12">SUM(O15:S15)</f>
        <v>4</v>
      </c>
      <c r="U15" s="99">
        <f t="shared" ref="U15:U25" si="13">T15*100/$G15</f>
        <v>1.593625498007968</v>
      </c>
      <c r="V15" s="97">
        <v>0</v>
      </c>
      <c r="W15" s="97">
        <v>0</v>
      </c>
      <c r="X15" s="97">
        <v>0</v>
      </c>
      <c r="Y15" s="97">
        <v>1</v>
      </c>
      <c r="Z15" s="97">
        <v>0</v>
      </c>
      <c r="AA15" s="97">
        <f t="shared" ref="AA15:AA25" si="14">SUM(V15:Z15)</f>
        <v>1</v>
      </c>
      <c r="AB15" s="99">
        <f t="shared" ref="AB15:AB25" si="15">AA15*100/$G15</f>
        <v>0.39840637450199201</v>
      </c>
      <c r="AC15" s="101"/>
      <c r="AD15" s="101">
        <v>0</v>
      </c>
      <c r="AE15" s="101">
        <v>4</v>
      </c>
    </row>
    <row r="16" spans="1:31" ht="14.4" thickBot="1" x14ac:dyDescent="0.3">
      <c r="A16" s="89" t="s">
        <v>6</v>
      </c>
      <c r="B16" s="109">
        <v>55</v>
      </c>
      <c r="C16" s="97">
        <v>33</v>
      </c>
      <c r="D16" s="97">
        <v>52</v>
      </c>
      <c r="E16" s="97">
        <v>52</v>
      </c>
      <c r="F16" s="97">
        <v>24</v>
      </c>
      <c r="G16" s="98">
        <f t="shared" si="9"/>
        <v>216</v>
      </c>
      <c r="H16" s="97">
        <v>0</v>
      </c>
      <c r="I16" s="97">
        <v>0</v>
      </c>
      <c r="J16" s="97">
        <v>0</v>
      </c>
      <c r="K16" s="97">
        <v>1</v>
      </c>
      <c r="L16" s="97">
        <v>0</v>
      </c>
      <c r="M16" s="101">
        <f t="shared" si="10"/>
        <v>1</v>
      </c>
      <c r="N16" s="99">
        <f t="shared" si="11"/>
        <v>0.46296296296296297</v>
      </c>
      <c r="O16" s="97">
        <v>0</v>
      </c>
      <c r="P16" s="97">
        <v>0</v>
      </c>
      <c r="Q16" s="97">
        <v>0</v>
      </c>
      <c r="R16" s="97">
        <v>1</v>
      </c>
      <c r="S16" s="97">
        <v>0</v>
      </c>
      <c r="T16" s="101">
        <f t="shared" si="12"/>
        <v>1</v>
      </c>
      <c r="U16" s="99">
        <f t="shared" si="13"/>
        <v>0.46296296296296297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101">
        <f t="shared" si="14"/>
        <v>0</v>
      </c>
      <c r="AB16" s="99">
        <f t="shared" si="15"/>
        <v>0</v>
      </c>
      <c r="AC16" s="101"/>
      <c r="AD16" s="101">
        <v>0</v>
      </c>
      <c r="AE16" s="101">
        <v>1</v>
      </c>
    </row>
    <row r="17" spans="1:31" ht="14.4" thickBot="1" x14ac:dyDescent="0.3">
      <c r="A17" s="89" t="s">
        <v>7</v>
      </c>
      <c r="B17" s="97">
        <v>26</v>
      </c>
      <c r="C17" s="97">
        <v>16</v>
      </c>
      <c r="D17" s="97">
        <v>42</v>
      </c>
      <c r="E17" s="97">
        <v>17</v>
      </c>
      <c r="F17" s="97">
        <v>44</v>
      </c>
      <c r="G17" s="98">
        <f t="shared" si="9"/>
        <v>145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 t="shared" si="10"/>
        <v>0</v>
      </c>
      <c r="N17" s="99">
        <f t="shared" si="11"/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f t="shared" si="12"/>
        <v>0</v>
      </c>
      <c r="U17" s="99">
        <f t="shared" si="13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f t="shared" si="14"/>
        <v>0</v>
      </c>
      <c r="AB17" s="99">
        <f t="shared" si="15"/>
        <v>0</v>
      </c>
      <c r="AC17" s="101"/>
      <c r="AD17" s="101">
        <v>0</v>
      </c>
      <c r="AE17" s="101">
        <v>0</v>
      </c>
    </row>
    <row r="18" spans="1:31" ht="14.4" thickBot="1" x14ac:dyDescent="0.3">
      <c r="A18" s="89" t="s">
        <v>8</v>
      </c>
      <c r="B18" s="97">
        <v>4</v>
      </c>
      <c r="C18" s="97">
        <v>12</v>
      </c>
      <c r="D18" s="97">
        <v>12</v>
      </c>
      <c r="E18" s="97">
        <v>27</v>
      </c>
      <c r="F18" s="97">
        <v>8</v>
      </c>
      <c r="G18" s="98">
        <f t="shared" si="9"/>
        <v>63</v>
      </c>
      <c r="H18" s="97">
        <v>0</v>
      </c>
      <c r="I18" s="97">
        <v>0</v>
      </c>
      <c r="J18" s="97">
        <v>0</v>
      </c>
      <c r="K18" s="97">
        <v>1</v>
      </c>
      <c r="L18" s="97">
        <v>0</v>
      </c>
      <c r="M18" s="97">
        <f t="shared" si="10"/>
        <v>1</v>
      </c>
      <c r="N18" s="99">
        <f t="shared" si="11"/>
        <v>1.5873015873015872</v>
      </c>
      <c r="O18" s="97">
        <v>0</v>
      </c>
      <c r="P18" s="97">
        <v>0</v>
      </c>
      <c r="Q18" s="97">
        <v>0</v>
      </c>
      <c r="R18" s="97">
        <v>3</v>
      </c>
      <c r="S18" s="97">
        <v>0</v>
      </c>
      <c r="T18" s="97">
        <f t="shared" si="12"/>
        <v>3</v>
      </c>
      <c r="U18" s="99">
        <f t="shared" si="13"/>
        <v>4.7619047619047619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 t="shared" si="14"/>
        <v>0</v>
      </c>
      <c r="AB18" s="99">
        <f t="shared" si="15"/>
        <v>0</v>
      </c>
      <c r="AC18" s="101"/>
      <c r="AD18" s="101">
        <v>0</v>
      </c>
      <c r="AE18" s="101">
        <v>0</v>
      </c>
    </row>
    <row r="19" spans="1:31" ht="14.4" thickBot="1" x14ac:dyDescent="0.3">
      <c r="A19" s="89" t="s">
        <v>9</v>
      </c>
      <c r="B19" s="97">
        <v>36</v>
      </c>
      <c r="C19" s="97">
        <v>17</v>
      </c>
      <c r="D19" s="97">
        <v>30</v>
      </c>
      <c r="E19" s="97">
        <v>33</v>
      </c>
      <c r="F19" s="97">
        <v>20</v>
      </c>
      <c r="G19" s="98">
        <f t="shared" si="9"/>
        <v>136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f t="shared" si="10"/>
        <v>0</v>
      </c>
      <c r="N19" s="99">
        <f t="shared" si="11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12"/>
        <v>0</v>
      </c>
      <c r="U19" s="99">
        <f t="shared" si="13"/>
        <v>0</v>
      </c>
      <c r="V19" s="97">
        <v>0</v>
      </c>
      <c r="W19" s="97">
        <v>0</v>
      </c>
      <c r="X19" s="97">
        <v>0</v>
      </c>
      <c r="Y19" s="97">
        <v>0</v>
      </c>
      <c r="Z19" s="97">
        <v>1</v>
      </c>
      <c r="AA19" s="101">
        <f t="shared" si="14"/>
        <v>1</v>
      </c>
      <c r="AB19" s="99">
        <f t="shared" si="15"/>
        <v>0.73529411764705888</v>
      </c>
      <c r="AC19" s="101"/>
      <c r="AD19" s="101">
        <v>0</v>
      </c>
      <c r="AE19" s="101">
        <v>5</v>
      </c>
    </row>
    <row r="20" spans="1:31" ht="14.4" thickBot="1" x14ac:dyDescent="0.3">
      <c r="A20" s="89" t="s">
        <v>10</v>
      </c>
      <c r="B20" s="97">
        <v>10</v>
      </c>
      <c r="C20" s="97">
        <v>7</v>
      </c>
      <c r="D20" s="97">
        <v>11</v>
      </c>
      <c r="E20" s="97">
        <v>17</v>
      </c>
      <c r="F20" s="97">
        <v>4</v>
      </c>
      <c r="G20" s="98">
        <f t="shared" si="9"/>
        <v>49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10"/>
        <v>0</v>
      </c>
      <c r="N20" s="99">
        <f t="shared" si="11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12"/>
        <v>0</v>
      </c>
      <c r="U20" s="99">
        <f t="shared" si="13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14"/>
        <v>0</v>
      </c>
      <c r="AB20" s="99">
        <f t="shared" si="15"/>
        <v>0</v>
      </c>
      <c r="AC20" s="101"/>
      <c r="AD20" s="101">
        <v>0</v>
      </c>
      <c r="AE20" s="101">
        <v>0</v>
      </c>
    </row>
    <row r="21" spans="1:31" ht="14.4" thickBot="1" x14ac:dyDescent="0.3">
      <c r="A21" s="89" t="s">
        <v>11</v>
      </c>
      <c r="B21" s="97">
        <v>31</v>
      </c>
      <c r="C21" s="97">
        <v>13</v>
      </c>
      <c r="D21" s="97">
        <v>48</v>
      </c>
      <c r="E21" s="97">
        <v>43</v>
      </c>
      <c r="F21" s="97">
        <v>33</v>
      </c>
      <c r="G21" s="98">
        <f t="shared" si="9"/>
        <v>168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f t="shared" si="10"/>
        <v>0</v>
      </c>
      <c r="N21" s="99">
        <f t="shared" si="11"/>
        <v>0</v>
      </c>
      <c r="O21" s="97">
        <v>0</v>
      </c>
      <c r="P21" s="97">
        <v>0</v>
      </c>
      <c r="Q21" s="97">
        <v>0</v>
      </c>
      <c r="R21" s="97">
        <v>3</v>
      </c>
      <c r="S21" s="97">
        <v>0</v>
      </c>
      <c r="T21" s="97">
        <f t="shared" si="12"/>
        <v>3</v>
      </c>
      <c r="U21" s="99">
        <f t="shared" si="13"/>
        <v>1.7857142857142858</v>
      </c>
      <c r="V21" s="97">
        <v>0</v>
      </c>
      <c r="W21" s="97">
        <v>1</v>
      </c>
      <c r="X21" s="97">
        <v>0</v>
      </c>
      <c r="Y21" s="97">
        <v>0</v>
      </c>
      <c r="Z21" s="97">
        <v>1</v>
      </c>
      <c r="AA21" s="97">
        <f t="shared" si="14"/>
        <v>2</v>
      </c>
      <c r="AB21" s="99">
        <f t="shared" si="15"/>
        <v>1.1904761904761905</v>
      </c>
      <c r="AC21" s="101"/>
      <c r="AD21" s="101">
        <v>0</v>
      </c>
      <c r="AE21" s="101">
        <v>5</v>
      </c>
    </row>
    <row r="22" spans="1:31" ht="14.4" thickBot="1" x14ac:dyDescent="0.3">
      <c r="A22" s="89" t="s">
        <v>12</v>
      </c>
      <c r="B22" s="97">
        <v>2034</v>
      </c>
      <c r="C22" s="97">
        <v>1266</v>
      </c>
      <c r="D22" s="97">
        <v>2858</v>
      </c>
      <c r="E22" s="97">
        <v>2743</v>
      </c>
      <c r="F22" s="97">
        <v>1731</v>
      </c>
      <c r="G22" s="98">
        <f t="shared" si="9"/>
        <v>10632</v>
      </c>
      <c r="H22" s="97">
        <v>11</v>
      </c>
      <c r="I22" s="97">
        <v>3</v>
      </c>
      <c r="J22" s="97">
        <v>20</v>
      </c>
      <c r="K22" s="97">
        <v>15</v>
      </c>
      <c r="L22" s="97">
        <v>6</v>
      </c>
      <c r="M22" s="97">
        <f t="shared" si="10"/>
        <v>55</v>
      </c>
      <c r="N22" s="99">
        <f t="shared" si="11"/>
        <v>0.51730624529721592</v>
      </c>
      <c r="O22" s="97">
        <v>22</v>
      </c>
      <c r="P22" s="97">
        <v>0</v>
      </c>
      <c r="Q22" s="97">
        <v>27</v>
      </c>
      <c r="R22" s="97">
        <v>30</v>
      </c>
      <c r="S22" s="97">
        <v>9</v>
      </c>
      <c r="T22" s="97">
        <f t="shared" si="12"/>
        <v>88</v>
      </c>
      <c r="U22" s="99">
        <f t="shared" si="13"/>
        <v>0.82768999247554553</v>
      </c>
      <c r="V22" s="97">
        <v>18</v>
      </c>
      <c r="W22" s="97">
        <v>7</v>
      </c>
      <c r="X22" s="97">
        <v>1</v>
      </c>
      <c r="Y22" s="97">
        <v>14</v>
      </c>
      <c r="Z22" s="97">
        <v>26</v>
      </c>
      <c r="AA22" s="97">
        <f t="shared" si="14"/>
        <v>66</v>
      </c>
      <c r="AB22" s="99">
        <f t="shared" si="15"/>
        <v>0.62076749435665912</v>
      </c>
      <c r="AC22" s="101"/>
      <c r="AD22" s="101">
        <v>5</v>
      </c>
      <c r="AE22" s="101">
        <v>286</v>
      </c>
    </row>
    <row r="23" spans="1:31" ht="14.4" thickBot="1" x14ac:dyDescent="0.3">
      <c r="A23" s="89" t="s">
        <v>13</v>
      </c>
      <c r="B23" s="97">
        <v>2</v>
      </c>
      <c r="C23" s="97">
        <v>6</v>
      </c>
      <c r="D23" s="97">
        <v>15</v>
      </c>
      <c r="E23" s="97">
        <v>15</v>
      </c>
      <c r="F23" s="97">
        <v>73</v>
      </c>
      <c r="G23" s="98">
        <f t="shared" si="9"/>
        <v>111</v>
      </c>
      <c r="H23" s="97">
        <v>0</v>
      </c>
      <c r="I23" s="97">
        <v>0</v>
      </c>
      <c r="J23" s="97">
        <v>0</v>
      </c>
      <c r="K23" s="97"/>
      <c r="L23" s="97">
        <v>0</v>
      </c>
      <c r="M23" s="97">
        <f t="shared" si="10"/>
        <v>0</v>
      </c>
      <c r="N23" s="99">
        <f t="shared" si="11"/>
        <v>0</v>
      </c>
      <c r="O23" s="97">
        <v>0</v>
      </c>
      <c r="P23" s="97">
        <v>6</v>
      </c>
      <c r="Q23" s="97">
        <v>0</v>
      </c>
      <c r="R23" s="97">
        <v>0</v>
      </c>
      <c r="S23" s="97">
        <v>0</v>
      </c>
      <c r="T23" s="97">
        <f t="shared" si="12"/>
        <v>6</v>
      </c>
      <c r="U23" s="99">
        <f t="shared" si="13"/>
        <v>5.4054054054054053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 t="shared" si="14"/>
        <v>0</v>
      </c>
      <c r="AB23" s="99">
        <f t="shared" si="15"/>
        <v>0</v>
      </c>
      <c r="AC23" s="101"/>
      <c r="AD23" s="101">
        <v>0</v>
      </c>
      <c r="AE23" s="101">
        <v>0</v>
      </c>
    </row>
    <row r="24" spans="1:31" ht="23.4" thickBot="1" x14ac:dyDescent="0.3">
      <c r="A24" s="139" t="s">
        <v>23</v>
      </c>
      <c r="B24" s="110">
        <v>0</v>
      </c>
      <c r="C24" s="110">
        <v>0</v>
      </c>
      <c r="D24" s="97">
        <v>0</v>
      </c>
      <c r="E24" s="110">
        <v>0</v>
      </c>
      <c r="F24" s="97">
        <v>0</v>
      </c>
      <c r="G24" s="98">
        <f t="shared" si="9"/>
        <v>0</v>
      </c>
      <c r="H24" s="110">
        <v>1</v>
      </c>
      <c r="I24" s="97">
        <v>0</v>
      </c>
      <c r="J24" s="97">
        <v>0</v>
      </c>
      <c r="K24" s="97">
        <v>2</v>
      </c>
      <c r="L24" s="97">
        <v>0</v>
      </c>
      <c r="M24" s="97">
        <f t="shared" si="10"/>
        <v>3</v>
      </c>
      <c r="N24" s="99" t="e">
        <f t="shared" si="11"/>
        <v>#DIV/0!</v>
      </c>
      <c r="O24" s="110">
        <v>2</v>
      </c>
      <c r="P24" s="97">
        <v>0</v>
      </c>
      <c r="Q24" s="97">
        <v>0</v>
      </c>
      <c r="R24" s="97">
        <v>0</v>
      </c>
      <c r="S24" s="97">
        <v>0</v>
      </c>
      <c r="T24" s="97">
        <f t="shared" si="12"/>
        <v>2</v>
      </c>
      <c r="U24" s="99" t="e">
        <f t="shared" si="13"/>
        <v>#DIV/0!</v>
      </c>
      <c r="V24" s="110">
        <v>1</v>
      </c>
      <c r="W24" s="97">
        <v>0</v>
      </c>
      <c r="X24" s="97">
        <v>0</v>
      </c>
      <c r="Y24" s="97">
        <v>0</v>
      </c>
      <c r="Z24" s="97">
        <v>0</v>
      </c>
      <c r="AA24" s="97">
        <f t="shared" si="14"/>
        <v>1</v>
      </c>
      <c r="AB24" s="99" t="e">
        <f t="shared" si="15"/>
        <v>#DIV/0!</v>
      </c>
      <c r="AC24" s="101"/>
      <c r="AD24" s="101">
        <v>0</v>
      </c>
      <c r="AE24" s="101"/>
    </row>
    <row r="25" spans="1:31" s="132" customFormat="1" ht="14.4" thickBot="1" x14ac:dyDescent="0.3">
      <c r="A25" s="128" t="s">
        <v>22</v>
      </c>
      <c r="B25" s="111">
        <f>SUM(B14:B24)</f>
        <v>2263</v>
      </c>
      <c r="C25" s="111">
        <f>SUM(C14:C24)</f>
        <v>1394</v>
      </c>
      <c r="D25" s="111">
        <f>SUM(D14:D24)</f>
        <v>3196</v>
      </c>
      <c r="E25" s="111">
        <f>SUM(E14:E24)</f>
        <v>3039</v>
      </c>
      <c r="F25" s="111">
        <f>SUM(F14:F24)</f>
        <v>1972</v>
      </c>
      <c r="G25" s="102">
        <f t="shared" si="9"/>
        <v>11864</v>
      </c>
      <c r="H25" s="111">
        <f>SUM(H14:H24)</f>
        <v>12</v>
      </c>
      <c r="I25" s="111">
        <f>SUM(I14:I24)</f>
        <v>3</v>
      </c>
      <c r="J25" s="111">
        <f>SUM(J14:J24)</f>
        <v>22</v>
      </c>
      <c r="K25" s="111">
        <f>SUM(K14:K24)</f>
        <v>20</v>
      </c>
      <c r="L25" s="111">
        <f>SUM(L14:L24)</f>
        <v>6</v>
      </c>
      <c r="M25" s="103">
        <f t="shared" si="10"/>
        <v>63</v>
      </c>
      <c r="N25" s="104">
        <f t="shared" si="11"/>
        <v>0.53101820633850305</v>
      </c>
      <c r="O25" s="111">
        <f>SUM(O14:O24)</f>
        <v>24</v>
      </c>
      <c r="P25" s="111">
        <f>SUM(P14:P24)</f>
        <v>6</v>
      </c>
      <c r="Q25" s="111">
        <f>SUM(Q14:Q24)</f>
        <v>30</v>
      </c>
      <c r="R25" s="111">
        <f>SUM(R14:R24)</f>
        <v>38</v>
      </c>
      <c r="S25" s="111">
        <f>SUM(S14:S24)</f>
        <v>9</v>
      </c>
      <c r="T25" s="103">
        <f t="shared" si="12"/>
        <v>107</v>
      </c>
      <c r="U25" s="104">
        <f t="shared" si="13"/>
        <v>0.90188806473364802</v>
      </c>
      <c r="V25" s="111">
        <f>SUM(V14:V24)</f>
        <v>19</v>
      </c>
      <c r="W25" s="111">
        <f>SUM(W14:W24)</f>
        <v>8</v>
      </c>
      <c r="X25" s="111">
        <f>SUM(X14:X24)</f>
        <v>1</v>
      </c>
      <c r="Y25" s="111">
        <f>SUM(Y14:Y24)</f>
        <v>15</v>
      </c>
      <c r="Z25" s="111">
        <f>SUM(Z14:Z24)</f>
        <v>28</v>
      </c>
      <c r="AA25" s="103">
        <f t="shared" si="14"/>
        <v>71</v>
      </c>
      <c r="AB25" s="104">
        <f t="shared" si="15"/>
        <v>0.59844908968307486</v>
      </c>
      <c r="AC25" s="107">
        <f>SUM(AC14:AC24)</f>
        <v>0</v>
      </c>
      <c r="AD25" s="107">
        <f t="shared" ref="AD25:AE25" si="16">SUM(AD14:AD24)</f>
        <v>5</v>
      </c>
      <c r="AE25" s="107">
        <f t="shared" si="16"/>
        <v>302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2118</v>
      </c>
      <c r="C28" s="97">
        <v>1445</v>
      </c>
      <c r="D28" s="97">
        <v>1454</v>
      </c>
      <c r="E28" s="97">
        <v>2009</v>
      </c>
      <c r="F28" s="97">
        <v>2103</v>
      </c>
      <c r="G28" s="98">
        <f t="shared" ref="G28:G36" si="17">SUM(B28:F28)</f>
        <v>9129</v>
      </c>
      <c r="H28" s="97">
        <v>2</v>
      </c>
      <c r="I28" s="97">
        <v>0</v>
      </c>
      <c r="J28" s="97">
        <v>0</v>
      </c>
      <c r="K28" s="97">
        <v>1</v>
      </c>
      <c r="L28" s="97">
        <v>5</v>
      </c>
      <c r="M28" s="97">
        <f>SUM(H28:L28)</f>
        <v>8</v>
      </c>
      <c r="N28" s="99">
        <f>M28*100/$G28</f>
        <v>8.7632818490524705E-2</v>
      </c>
      <c r="O28" s="97">
        <v>13</v>
      </c>
      <c r="P28" s="97">
        <v>1</v>
      </c>
      <c r="Q28" s="97">
        <v>0</v>
      </c>
      <c r="R28" s="97">
        <v>7</v>
      </c>
      <c r="S28" s="97">
        <v>7</v>
      </c>
      <c r="T28" s="97">
        <f>SUM(O28:S28)</f>
        <v>28</v>
      </c>
      <c r="U28" s="99">
        <f>T28*100/$G28</f>
        <v>0.30671486471683646</v>
      </c>
      <c r="V28" s="97">
        <v>6</v>
      </c>
      <c r="W28" s="97">
        <v>4</v>
      </c>
      <c r="X28" s="97">
        <v>0</v>
      </c>
      <c r="Y28" s="97">
        <v>7</v>
      </c>
      <c r="Z28" s="97">
        <v>3</v>
      </c>
      <c r="AA28" s="97">
        <f>SUM(V28:Z28)</f>
        <v>20</v>
      </c>
      <c r="AB28" s="99">
        <f>AA28*100/$G28</f>
        <v>0.21908204622631175</v>
      </c>
      <c r="AC28" s="101">
        <v>4</v>
      </c>
      <c r="AD28" s="101">
        <v>1</v>
      </c>
      <c r="AE28" s="101">
        <v>102</v>
      </c>
    </row>
    <row r="29" spans="1:31" ht="14.4" thickBot="1" x14ac:dyDescent="0.3">
      <c r="A29" s="89" t="s">
        <v>16</v>
      </c>
      <c r="B29" s="97">
        <v>873</v>
      </c>
      <c r="C29" s="97">
        <v>555</v>
      </c>
      <c r="D29" s="97">
        <v>1256</v>
      </c>
      <c r="E29" s="97">
        <v>1211</v>
      </c>
      <c r="F29" s="97">
        <v>909</v>
      </c>
      <c r="G29" s="98">
        <f t="shared" si="17"/>
        <v>4804</v>
      </c>
      <c r="H29" s="97">
        <v>4</v>
      </c>
      <c r="I29" s="97">
        <v>4</v>
      </c>
      <c r="J29" s="97">
        <v>2</v>
      </c>
      <c r="K29" s="97">
        <v>5</v>
      </c>
      <c r="L29" s="97">
        <v>4</v>
      </c>
      <c r="M29" s="97">
        <f>SUM(H29:L29)</f>
        <v>19</v>
      </c>
      <c r="N29" s="99">
        <f t="shared" ref="N29:N38" si="18">M29*100/$G29</f>
        <v>0.39550374687760198</v>
      </c>
      <c r="O29" s="97">
        <v>6</v>
      </c>
      <c r="P29" s="97">
        <v>1</v>
      </c>
      <c r="Q29" s="97">
        <v>1</v>
      </c>
      <c r="R29" s="97">
        <v>16</v>
      </c>
      <c r="S29" s="97">
        <v>7</v>
      </c>
      <c r="T29" s="97">
        <f>SUM(O29:S29)</f>
        <v>31</v>
      </c>
      <c r="U29" s="99">
        <f t="shared" ref="U29:U38" si="19">T29*100/$G29</f>
        <v>0.64529558701082435</v>
      </c>
      <c r="V29" s="97">
        <v>12</v>
      </c>
      <c r="W29" s="97">
        <v>1</v>
      </c>
      <c r="X29" s="97">
        <v>1</v>
      </c>
      <c r="Y29" s="97">
        <v>16</v>
      </c>
      <c r="Z29" s="97">
        <v>13</v>
      </c>
      <c r="AA29" s="97">
        <f>SUM(V29:Z29)</f>
        <v>43</v>
      </c>
      <c r="AB29" s="99">
        <f t="shared" ref="AB29:AB38" si="20">AA29*100/$G29</f>
        <v>0.89508742714404665</v>
      </c>
      <c r="AC29" s="101">
        <v>7</v>
      </c>
      <c r="AD29" s="101">
        <v>0</v>
      </c>
      <c r="AE29" s="101">
        <v>70</v>
      </c>
    </row>
    <row r="30" spans="1:31" ht="14.4" thickBot="1" x14ac:dyDescent="0.3">
      <c r="A30" s="89" t="s">
        <v>34</v>
      </c>
      <c r="B30" s="97">
        <v>810</v>
      </c>
      <c r="C30" s="97">
        <v>445</v>
      </c>
      <c r="D30" s="97">
        <v>512</v>
      </c>
      <c r="E30" s="97">
        <v>630</v>
      </c>
      <c r="F30" s="97">
        <v>1065</v>
      </c>
      <c r="G30" s="98">
        <f t="shared" si="17"/>
        <v>3462</v>
      </c>
      <c r="H30" s="97">
        <v>0</v>
      </c>
      <c r="I30" s="97">
        <v>1</v>
      </c>
      <c r="J30" s="97">
        <v>0</v>
      </c>
      <c r="K30" s="97">
        <v>5</v>
      </c>
      <c r="L30" s="97">
        <v>2</v>
      </c>
      <c r="M30" s="97">
        <f t="shared" ref="M30:M38" si="21">SUM(H30:L30)</f>
        <v>8</v>
      </c>
      <c r="N30" s="99">
        <f t="shared" si="18"/>
        <v>0.23108030040439054</v>
      </c>
      <c r="O30" s="97">
        <v>5</v>
      </c>
      <c r="P30" s="97">
        <v>6</v>
      </c>
      <c r="Q30" s="97">
        <v>0</v>
      </c>
      <c r="R30" s="97">
        <v>4</v>
      </c>
      <c r="S30" s="97">
        <v>0</v>
      </c>
      <c r="T30" s="97">
        <f t="shared" ref="T30:T38" si="22">SUM(O30:S30)</f>
        <v>15</v>
      </c>
      <c r="U30" s="99">
        <f t="shared" si="19"/>
        <v>0.43327556325823224</v>
      </c>
      <c r="V30" s="97">
        <v>1</v>
      </c>
      <c r="W30" s="97">
        <v>3</v>
      </c>
      <c r="X30" s="97">
        <v>0</v>
      </c>
      <c r="Y30" s="97">
        <v>4</v>
      </c>
      <c r="Z30" s="97">
        <v>1</v>
      </c>
      <c r="AA30" s="97">
        <f t="shared" ref="AA30:AA38" si="23">SUM(V30:Z30)</f>
        <v>9</v>
      </c>
      <c r="AB30" s="99">
        <f t="shared" si="20"/>
        <v>0.25996533795493937</v>
      </c>
      <c r="AC30" s="101">
        <v>3</v>
      </c>
      <c r="AD30" s="101">
        <v>0</v>
      </c>
      <c r="AE30" s="101">
        <v>22</v>
      </c>
    </row>
    <row r="31" spans="1:31" ht="14.4" thickBot="1" x14ac:dyDescent="0.3">
      <c r="A31" s="89" t="s">
        <v>17</v>
      </c>
      <c r="B31" s="97">
        <v>4199</v>
      </c>
      <c r="C31" s="97">
        <v>2888</v>
      </c>
      <c r="D31" s="97">
        <v>4219</v>
      </c>
      <c r="E31" s="97">
        <v>4517</v>
      </c>
      <c r="F31" s="97">
        <v>3944</v>
      </c>
      <c r="G31" s="98">
        <f t="shared" si="17"/>
        <v>19767</v>
      </c>
      <c r="H31" s="97">
        <v>3</v>
      </c>
      <c r="I31" s="97">
        <v>1</v>
      </c>
      <c r="J31" s="97">
        <v>0</v>
      </c>
      <c r="K31" s="97">
        <v>6</v>
      </c>
      <c r="L31" s="97">
        <v>3</v>
      </c>
      <c r="M31" s="97">
        <f t="shared" si="21"/>
        <v>13</v>
      </c>
      <c r="N31" s="99">
        <f t="shared" si="18"/>
        <v>6.5766175949815348E-2</v>
      </c>
      <c r="O31" s="97">
        <v>4</v>
      </c>
      <c r="P31" s="97">
        <v>4</v>
      </c>
      <c r="Q31" s="97">
        <v>3</v>
      </c>
      <c r="R31" s="97">
        <v>17</v>
      </c>
      <c r="S31" s="97">
        <v>3</v>
      </c>
      <c r="T31" s="97">
        <f t="shared" si="22"/>
        <v>31</v>
      </c>
      <c r="U31" s="99">
        <f t="shared" si="19"/>
        <v>0.15682703495725198</v>
      </c>
      <c r="V31" s="97">
        <v>8</v>
      </c>
      <c r="W31" s="97">
        <v>7</v>
      </c>
      <c r="X31" s="97">
        <v>0</v>
      </c>
      <c r="Y31" s="97">
        <v>17</v>
      </c>
      <c r="Z31" s="97">
        <v>13</v>
      </c>
      <c r="AA31" s="97">
        <f t="shared" si="23"/>
        <v>45</v>
      </c>
      <c r="AB31" s="99">
        <f t="shared" si="20"/>
        <v>0.22765214751859159</v>
      </c>
      <c r="AC31" s="101">
        <v>6</v>
      </c>
      <c r="AD31" s="101">
        <v>0</v>
      </c>
      <c r="AE31" s="101">
        <v>255</v>
      </c>
    </row>
    <row r="32" spans="1:31" ht="14.4" thickBot="1" x14ac:dyDescent="0.3">
      <c r="A32" s="89" t="s">
        <v>125</v>
      </c>
      <c r="B32" s="97">
        <v>8033</v>
      </c>
      <c r="C32" s="97">
        <v>9731</v>
      </c>
      <c r="D32" s="97">
        <v>8404</v>
      </c>
      <c r="E32" s="97">
        <v>12966</v>
      </c>
      <c r="F32" s="97">
        <v>8470</v>
      </c>
      <c r="G32" s="98">
        <f t="shared" si="17"/>
        <v>47604</v>
      </c>
      <c r="H32" s="97">
        <f>15+1</f>
        <v>16</v>
      </c>
      <c r="I32" s="97">
        <v>14</v>
      </c>
      <c r="J32" s="97">
        <v>4</v>
      </c>
      <c r="K32" s="97">
        <v>23</v>
      </c>
      <c r="L32" s="97">
        <v>9</v>
      </c>
      <c r="M32" s="97">
        <f t="shared" si="21"/>
        <v>66</v>
      </c>
      <c r="N32" s="99">
        <f t="shared" si="18"/>
        <v>0.13864381144441643</v>
      </c>
      <c r="O32" s="97">
        <v>43</v>
      </c>
      <c r="P32" s="97">
        <v>21</v>
      </c>
      <c r="Q32" s="97">
        <v>2</v>
      </c>
      <c r="R32" s="97">
        <v>93</v>
      </c>
      <c r="S32" s="97">
        <v>17</v>
      </c>
      <c r="T32" s="97">
        <f t="shared" si="22"/>
        <v>176</v>
      </c>
      <c r="U32" s="99">
        <f t="shared" si="19"/>
        <v>0.36971683051844384</v>
      </c>
      <c r="V32" s="97">
        <f>56+6</f>
        <v>62</v>
      </c>
      <c r="W32" s="97">
        <v>31</v>
      </c>
      <c r="X32" s="97">
        <v>1</v>
      </c>
      <c r="Y32" s="97">
        <v>93</v>
      </c>
      <c r="Z32" s="97">
        <v>17</v>
      </c>
      <c r="AA32" s="97">
        <f t="shared" ref="AA32:AA33" si="24">SUM(V32:Z32)</f>
        <v>204</v>
      </c>
      <c r="AB32" s="99">
        <f t="shared" ref="AB32:AB33" si="25">AA32*100/$G32</f>
        <v>0.42853541719183263</v>
      </c>
      <c r="AC32" s="101">
        <v>10</v>
      </c>
      <c r="AD32" s="101">
        <v>0</v>
      </c>
      <c r="AE32" s="101">
        <v>553</v>
      </c>
    </row>
    <row r="33" spans="1:31" ht="14.4" thickBot="1" x14ac:dyDescent="0.3">
      <c r="A33" s="89" t="s">
        <v>18</v>
      </c>
      <c r="B33" s="97">
        <v>1590</v>
      </c>
      <c r="C33" s="97">
        <v>1271</v>
      </c>
      <c r="D33" s="97">
        <v>1146</v>
      </c>
      <c r="E33" s="97">
        <v>1182</v>
      </c>
      <c r="F33" s="97">
        <v>2603</v>
      </c>
      <c r="G33" s="98">
        <f t="shared" si="17"/>
        <v>7792</v>
      </c>
      <c r="H33" s="97">
        <v>4</v>
      </c>
      <c r="I33" s="97">
        <v>1</v>
      </c>
      <c r="J33" s="97">
        <v>0</v>
      </c>
      <c r="K33" s="97">
        <v>2</v>
      </c>
      <c r="L33" s="97">
        <v>4</v>
      </c>
      <c r="M33" s="97">
        <f t="shared" si="21"/>
        <v>11</v>
      </c>
      <c r="N33" s="99">
        <f t="shared" si="18"/>
        <v>0.14117043121149897</v>
      </c>
      <c r="O33" s="97">
        <v>2</v>
      </c>
      <c r="P33" s="97">
        <v>1</v>
      </c>
      <c r="Q33" s="97">
        <v>1</v>
      </c>
      <c r="R33" s="97">
        <v>2</v>
      </c>
      <c r="S33" s="97">
        <v>3</v>
      </c>
      <c r="T33" s="97">
        <f t="shared" si="22"/>
        <v>9</v>
      </c>
      <c r="U33" s="99">
        <f t="shared" si="19"/>
        <v>0.11550308008213553</v>
      </c>
      <c r="V33" s="97">
        <v>5</v>
      </c>
      <c r="W33" s="97">
        <v>4</v>
      </c>
      <c r="X33" s="97">
        <v>0</v>
      </c>
      <c r="Y33" s="97">
        <v>2</v>
      </c>
      <c r="Z33" s="97">
        <v>9</v>
      </c>
      <c r="AA33" s="97">
        <f t="shared" si="24"/>
        <v>20</v>
      </c>
      <c r="AB33" s="99">
        <f t="shared" si="25"/>
        <v>0.25667351129363447</v>
      </c>
      <c r="AC33" s="101">
        <v>5</v>
      </c>
      <c r="AD33" s="101">
        <v>0</v>
      </c>
      <c r="AE33" s="101">
        <v>52</v>
      </c>
    </row>
    <row r="34" spans="1:31" ht="14.4" thickBot="1" x14ac:dyDescent="0.3">
      <c r="A34" s="89" t="s">
        <v>19</v>
      </c>
      <c r="B34" s="97">
        <v>7594</v>
      </c>
      <c r="C34" s="97">
        <v>5235</v>
      </c>
      <c r="D34" s="97">
        <v>7778</v>
      </c>
      <c r="E34" s="97">
        <v>7885</v>
      </c>
      <c r="F34" s="97">
        <v>6327</v>
      </c>
      <c r="G34" s="98">
        <f t="shared" si="17"/>
        <v>34819</v>
      </c>
      <c r="H34" s="97">
        <f>39+3</f>
        <v>42</v>
      </c>
      <c r="I34" s="97">
        <v>12</v>
      </c>
      <c r="J34" s="97">
        <v>5</v>
      </c>
      <c r="K34" s="97">
        <v>45</v>
      </c>
      <c r="L34" s="97">
        <v>16</v>
      </c>
      <c r="M34" s="97">
        <f t="shared" si="21"/>
        <v>120</v>
      </c>
      <c r="N34" s="99">
        <f t="shared" si="18"/>
        <v>0.34463942100577272</v>
      </c>
      <c r="O34" s="97">
        <f>65+9</f>
        <v>74</v>
      </c>
      <c r="P34" s="97">
        <v>37</v>
      </c>
      <c r="Q34" s="97">
        <v>13</v>
      </c>
      <c r="R34" s="97">
        <v>63</v>
      </c>
      <c r="S34" s="97">
        <v>39</v>
      </c>
      <c r="T34" s="97">
        <f t="shared" si="22"/>
        <v>226</v>
      </c>
      <c r="U34" s="99">
        <f t="shared" si="19"/>
        <v>0.64907090956087199</v>
      </c>
      <c r="V34" s="97">
        <f>63+5</f>
        <v>68</v>
      </c>
      <c r="W34" s="97">
        <v>21</v>
      </c>
      <c r="X34" s="97">
        <v>3</v>
      </c>
      <c r="Y34" s="97">
        <v>63</v>
      </c>
      <c r="Z34" s="97">
        <v>23</v>
      </c>
      <c r="AA34" s="97">
        <f t="shared" si="23"/>
        <v>178</v>
      </c>
      <c r="AB34" s="99">
        <f t="shared" si="20"/>
        <v>0.51121514115856281</v>
      </c>
      <c r="AC34" s="101">
        <v>51</v>
      </c>
      <c r="AD34" s="101">
        <v>1</v>
      </c>
      <c r="AE34" s="101">
        <v>712</v>
      </c>
    </row>
    <row r="35" spans="1:31" ht="14.4" thickBot="1" x14ac:dyDescent="0.3">
      <c r="A35" s="89" t="s">
        <v>20</v>
      </c>
      <c r="B35" s="97">
        <v>3520</v>
      </c>
      <c r="C35" s="97">
        <v>2744</v>
      </c>
      <c r="D35" s="97">
        <v>3984</v>
      </c>
      <c r="E35" s="97">
        <v>4619</v>
      </c>
      <c r="F35" s="97">
        <v>1999</v>
      </c>
      <c r="G35" s="98">
        <f t="shared" si="17"/>
        <v>16866</v>
      </c>
      <c r="H35" s="97">
        <f>12+1</f>
        <v>13</v>
      </c>
      <c r="I35" s="97">
        <v>5</v>
      </c>
      <c r="J35" s="97">
        <v>4</v>
      </c>
      <c r="K35" s="97">
        <v>16</v>
      </c>
      <c r="L35" s="97">
        <v>3</v>
      </c>
      <c r="M35" s="97">
        <f t="shared" si="21"/>
        <v>41</v>
      </c>
      <c r="N35" s="99">
        <f t="shared" si="18"/>
        <v>0.24309261235621962</v>
      </c>
      <c r="O35" s="97">
        <v>39</v>
      </c>
      <c r="P35" s="97">
        <v>9</v>
      </c>
      <c r="Q35" s="97">
        <v>7</v>
      </c>
      <c r="R35" s="97">
        <v>50</v>
      </c>
      <c r="S35" s="97">
        <v>8</v>
      </c>
      <c r="T35" s="97">
        <f t="shared" si="22"/>
        <v>113</v>
      </c>
      <c r="U35" s="99">
        <f t="shared" si="19"/>
        <v>0.6699869560061662</v>
      </c>
      <c r="V35" s="97">
        <v>15</v>
      </c>
      <c r="W35" s="97">
        <v>6</v>
      </c>
      <c r="X35" s="97">
        <v>1</v>
      </c>
      <c r="Y35" s="97">
        <v>50</v>
      </c>
      <c r="Z35" s="97">
        <v>9</v>
      </c>
      <c r="AA35" s="97">
        <f t="shared" si="23"/>
        <v>81</v>
      </c>
      <c r="AB35" s="99">
        <f t="shared" si="20"/>
        <v>0.48025613660618999</v>
      </c>
      <c r="AC35" s="101">
        <v>13</v>
      </c>
      <c r="AD35" s="101">
        <v>0</v>
      </c>
      <c r="AE35" s="101">
        <v>252</v>
      </c>
    </row>
    <row r="36" spans="1:31" ht="14.4" thickBot="1" x14ac:dyDescent="0.3">
      <c r="A36" s="89" t="s">
        <v>25</v>
      </c>
      <c r="B36" s="97"/>
      <c r="C36" s="97"/>
      <c r="D36" s="97"/>
      <c r="E36" s="97"/>
      <c r="F36" s="97"/>
      <c r="G36" s="98">
        <f t="shared" si="17"/>
        <v>0</v>
      </c>
      <c r="H36" s="97"/>
      <c r="I36" s="97"/>
      <c r="J36" s="97"/>
      <c r="K36" s="97"/>
      <c r="L36" s="97"/>
      <c r="M36" s="97">
        <f t="shared" si="21"/>
        <v>0</v>
      </c>
      <c r="N36" s="99" t="e">
        <f t="shared" si="18"/>
        <v>#DIV/0!</v>
      </c>
      <c r="O36" s="97"/>
      <c r="P36" s="97"/>
      <c r="Q36" s="97"/>
      <c r="R36" s="97"/>
      <c r="S36" s="97"/>
      <c r="T36" s="97">
        <f t="shared" si="22"/>
        <v>0</v>
      </c>
      <c r="U36" s="99" t="e">
        <f t="shared" si="19"/>
        <v>#DIV/0!</v>
      </c>
      <c r="V36" s="97"/>
      <c r="W36" s="97"/>
      <c r="X36" s="97"/>
      <c r="Y36" s="97"/>
      <c r="Z36" s="97"/>
      <c r="AA36" s="97">
        <f t="shared" si="23"/>
        <v>0</v>
      </c>
      <c r="AB36" s="99" t="e">
        <f t="shared" si="20"/>
        <v>#DIV/0!</v>
      </c>
      <c r="AC36" s="101"/>
      <c r="AD36" s="101"/>
      <c r="AE36" s="101"/>
    </row>
    <row r="37" spans="1:31" ht="14.4" thickBot="1" x14ac:dyDescent="0.3">
      <c r="A37" s="89" t="s">
        <v>26</v>
      </c>
      <c r="B37" s="97">
        <f>21652+37000</f>
        <v>58652</v>
      </c>
      <c r="C37" s="97">
        <v>15914</v>
      </c>
      <c r="D37" s="97">
        <v>23262</v>
      </c>
      <c r="E37" s="97">
        <v>23454</v>
      </c>
      <c r="F37" s="97">
        <v>21322</v>
      </c>
      <c r="G37" s="98">
        <f>SUM(B37:F37)</f>
        <v>142604</v>
      </c>
      <c r="H37" s="97">
        <f>27+2</f>
        <v>29</v>
      </c>
      <c r="I37" s="97">
        <v>38</v>
      </c>
      <c r="J37" s="97">
        <v>17</v>
      </c>
      <c r="K37" s="97">
        <v>60</v>
      </c>
      <c r="L37" s="97">
        <v>11</v>
      </c>
      <c r="M37" s="97">
        <f t="shared" si="21"/>
        <v>155</v>
      </c>
      <c r="N37" s="99">
        <f t="shared" si="18"/>
        <v>0.10869260329303526</v>
      </c>
      <c r="O37" s="97">
        <f>73+7</f>
        <v>80</v>
      </c>
      <c r="P37" s="97">
        <v>38</v>
      </c>
      <c r="Q37" s="97">
        <v>14</v>
      </c>
      <c r="R37" s="97">
        <v>16</v>
      </c>
      <c r="S37" s="97">
        <v>25</v>
      </c>
      <c r="T37" s="97">
        <f t="shared" si="22"/>
        <v>173</v>
      </c>
      <c r="U37" s="99">
        <f t="shared" si="19"/>
        <v>0.12131497012706516</v>
      </c>
      <c r="V37" s="97">
        <v>49</v>
      </c>
      <c r="W37" s="97">
        <v>51</v>
      </c>
      <c r="X37" s="97">
        <v>1</v>
      </c>
      <c r="Y37" s="97">
        <v>6</v>
      </c>
      <c r="Z37" s="97">
        <v>36</v>
      </c>
      <c r="AA37" s="97">
        <f t="shared" si="23"/>
        <v>143</v>
      </c>
      <c r="AB37" s="99">
        <f t="shared" si="20"/>
        <v>0.10027769207034866</v>
      </c>
      <c r="AC37" s="101">
        <v>49</v>
      </c>
      <c r="AD37" s="101">
        <v>3</v>
      </c>
      <c r="AE37" s="97">
        <v>775</v>
      </c>
    </row>
    <row r="38" spans="1:31" s="132" customFormat="1" ht="14.4" thickBot="1" x14ac:dyDescent="0.3">
      <c r="A38" s="128" t="s">
        <v>21</v>
      </c>
      <c r="B38" s="111">
        <f>SUM(B28:B37)</f>
        <v>87389</v>
      </c>
      <c r="C38" s="111">
        <f>SUM(C28:C37)</f>
        <v>40228</v>
      </c>
      <c r="D38" s="111">
        <f>SUM(D28:D37)</f>
        <v>52015</v>
      </c>
      <c r="E38" s="111">
        <f>SUM(E28:E37)</f>
        <v>58473</v>
      </c>
      <c r="F38" s="111">
        <f>SUM(F28:F37)</f>
        <v>48742</v>
      </c>
      <c r="G38" s="102">
        <f>SUM(B38:F38)</f>
        <v>286847</v>
      </c>
      <c r="H38" s="111">
        <f>SUM(H28:H37)</f>
        <v>113</v>
      </c>
      <c r="I38" s="111">
        <f>SUM(I28:I37)</f>
        <v>76</v>
      </c>
      <c r="J38" s="111">
        <f>SUM(J28:J37)</f>
        <v>32</v>
      </c>
      <c r="K38" s="111">
        <f>SUM(K28:K37)</f>
        <v>163</v>
      </c>
      <c r="L38" s="111">
        <f>SUM(L28:L37)</f>
        <v>57</v>
      </c>
      <c r="M38" s="103">
        <f t="shared" si="21"/>
        <v>441</v>
      </c>
      <c r="N38" s="104">
        <f t="shared" si="18"/>
        <v>0.15374049580438351</v>
      </c>
      <c r="O38" s="111">
        <f>SUM(O28:O37)</f>
        <v>266</v>
      </c>
      <c r="P38" s="111">
        <f>SUM(P28:P37)</f>
        <v>118</v>
      </c>
      <c r="Q38" s="111">
        <f>SUM(Q28:Q37)</f>
        <v>41</v>
      </c>
      <c r="R38" s="111">
        <f>SUM(R28:R37)</f>
        <v>268</v>
      </c>
      <c r="S38" s="111">
        <f>SUM(S28:S37)</f>
        <v>109</v>
      </c>
      <c r="T38" s="103">
        <f t="shared" si="22"/>
        <v>802</v>
      </c>
      <c r="U38" s="104">
        <f t="shared" si="19"/>
        <v>0.27959155926330065</v>
      </c>
      <c r="V38" s="111">
        <f>SUM(V28:V37)</f>
        <v>226</v>
      </c>
      <c r="W38" s="111">
        <f>SUM(W28:W37)</f>
        <v>128</v>
      </c>
      <c r="X38" s="111">
        <f>SUM(X28:X37)</f>
        <v>7</v>
      </c>
      <c r="Y38" s="111">
        <f>SUM(Y28:Y37)</f>
        <v>258</v>
      </c>
      <c r="Z38" s="111">
        <f>SUM(Z28:Z37)</f>
        <v>124</v>
      </c>
      <c r="AA38" s="103">
        <f t="shared" si="23"/>
        <v>743</v>
      </c>
      <c r="AB38" s="104">
        <f t="shared" si="20"/>
        <v>0.25902310290851915</v>
      </c>
      <c r="AC38" s="107">
        <f>SUM(AC28:AC37)</f>
        <v>148</v>
      </c>
      <c r="AD38" s="107">
        <f t="shared" ref="AD38:AE38" si="26">SUM(AD28:AD37)</f>
        <v>5</v>
      </c>
      <c r="AE38" s="114">
        <f t="shared" si="26"/>
        <v>2793</v>
      </c>
    </row>
    <row r="39" spans="1:31" ht="13.8" x14ac:dyDescent="0.25">
      <c r="A39" s="129"/>
      <c r="B39" s="130"/>
      <c r="C39" s="130"/>
      <c r="D39" s="130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27"/>
      <c r="AD39" s="127"/>
      <c r="AE39" s="127"/>
    </row>
    <row r="40" spans="1:31" ht="14.4" thickBot="1" x14ac:dyDescent="0.3">
      <c r="A40" s="6" t="s">
        <v>28</v>
      </c>
      <c r="B40" s="113"/>
      <c r="C40" s="113"/>
      <c r="D40" s="113"/>
      <c r="E40" s="113"/>
      <c r="F40" s="113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27"/>
      <c r="AD40" s="127"/>
      <c r="AE40" s="127"/>
    </row>
    <row r="41" spans="1:31" ht="14.4" thickBot="1" x14ac:dyDescent="0.3">
      <c r="A41" s="89" t="s">
        <v>40</v>
      </c>
      <c r="B41" s="97"/>
      <c r="C41" s="97"/>
      <c r="D41" s="97"/>
      <c r="E41" s="97"/>
      <c r="F41" s="97"/>
      <c r="G41" s="98">
        <f>SUM(B41:F41)</f>
        <v>0</v>
      </c>
      <c r="H41" s="97"/>
      <c r="I41" s="97"/>
      <c r="J41" s="97"/>
      <c r="K41" s="97"/>
      <c r="L41" s="120"/>
      <c r="M41" s="97">
        <f>SUM(H41:L41)</f>
        <v>0</v>
      </c>
      <c r="N41" s="99" t="e">
        <f>M41*100/$G41</f>
        <v>#DIV/0!</v>
      </c>
      <c r="O41" s="97"/>
      <c r="P41" s="97"/>
      <c r="Q41" s="97"/>
      <c r="R41" s="97"/>
      <c r="S41" s="120"/>
      <c r="T41" s="97">
        <f>SUM(O41:S41)</f>
        <v>0</v>
      </c>
      <c r="U41" s="99" t="e">
        <f>T41*100/$G41</f>
        <v>#DIV/0!</v>
      </c>
      <c r="V41" s="97"/>
      <c r="W41" s="97"/>
      <c r="X41" s="97"/>
      <c r="Y41" s="97"/>
      <c r="Z41" s="120"/>
      <c r="AA41" s="97">
        <f>SUM(V41:Z41)</f>
        <v>0</v>
      </c>
      <c r="AB41" s="99" t="e">
        <f>AA41*100/$G41</f>
        <v>#DIV/0!</v>
      </c>
      <c r="AC41" s="101"/>
      <c r="AD41" s="101"/>
      <c r="AE41" s="101"/>
    </row>
    <row r="42" spans="1:31" ht="14.4" thickBot="1" x14ac:dyDescent="0.3">
      <c r="A42" s="89" t="s">
        <v>27</v>
      </c>
      <c r="B42" s="97">
        <v>41508</v>
      </c>
      <c r="C42" s="97">
        <v>26839</v>
      </c>
      <c r="D42" s="109">
        <v>28670</v>
      </c>
      <c r="E42" s="97">
        <v>38787</v>
      </c>
      <c r="F42" s="97">
        <v>39663</v>
      </c>
      <c r="G42" s="98">
        <f>SUM(B42:F42)</f>
        <v>175467</v>
      </c>
      <c r="H42" s="97">
        <v>20</v>
      </c>
      <c r="I42" s="97">
        <v>12</v>
      </c>
      <c r="J42" s="97">
        <v>20</v>
      </c>
      <c r="K42" s="97">
        <v>18</v>
      </c>
      <c r="L42" s="97">
        <v>12</v>
      </c>
      <c r="M42" s="97">
        <f>SUM(H42:L42)</f>
        <v>82</v>
      </c>
      <c r="N42" s="99">
        <f t="shared" ref="N42:N43" si="27">M42*100/$G42</f>
        <v>4.6732434018932338E-2</v>
      </c>
      <c r="O42" s="97">
        <v>33</v>
      </c>
      <c r="P42" s="97">
        <v>16</v>
      </c>
      <c r="Q42" s="97">
        <v>16</v>
      </c>
      <c r="R42" s="97">
        <v>20</v>
      </c>
      <c r="S42" s="97">
        <v>6</v>
      </c>
      <c r="T42" s="97">
        <f>SUM(O42:S42)</f>
        <v>91</v>
      </c>
      <c r="U42" s="99">
        <f>T42*100/$G42</f>
        <v>5.1861603606376129E-2</v>
      </c>
      <c r="V42" s="97">
        <v>18</v>
      </c>
      <c r="W42" s="97">
        <v>15</v>
      </c>
      <c r="X42" s="97">
        <v>29</v>
      </c>
      <c r="Y42" s="97">
        <v>1</v>
      </c>
      <c r="Z42" s="97">
        <v>14</v>
      </c>
      <c r="AA42" s="97">
        <f>SUM(V42:Z42)</f>
        <v>77</v>
      </c>
      <c r="AB42" s="99">
        <f t="shared" ref="AB42:AB43" si="28">AA42*100/$G42</f>
        <v>4.3882895359241336E-2</v>
      </c>
      <c r="AC42" s="101">
        <v>5</v>
      </c>
      <c r="AD42" s="101">
        <v>0</v>
      </c>
      <c r="AE42" s="101">
        <v>76</v>
      </c>
    </row>
    <row r="43" spans="1:31" s="132" customFormat="1" ht="14.4" thickBot="1" x14ac:dyDescent="0.3">
      <c r="A43" s="128" t="s">
        <v>21</v>
      </c>
      <c r="B43" s="111">
        <f>SUM(B41:B42)</f>
        <v>41508</v>
      </c>
      <c r="C43" s="111">
        <f t="shared" ref="C43:L43" si="29">SUM(C41:C42)</f>
        <v>26839</v>
      </c>
      <c r="D43" s="111">
        <f t="shared" si="29"/>
        <v>28670</v>
      </c>
      <c r="E43" s="111">
        <f t="shared" si="29"/>
        <v>38787</v>
      </c>
      <c r="F43" s="111">
        <f t="shared" si="29"/>
        <v>39663</v>
      </c>
      <c r="G43" s="102">
        <f>SUM(G41:G42)</f>
        <v>175467</v>
      </c>
      <c r="H43" s="111">
        <f t="shared" si="29"/>
        <v>20</v>
      </c>
      <c r="I43" s="111">
        <f t="shared" si="29"/>
        <v>12</v>
      </c>
      <c r="J43" s="111">
        <f t="shared" si="29"/>
        <v>20</v>
      </c>
      <c r="K43" s="111">
        <f t="shared" si="29"/>
        <v>18</v>
      </c>
      <c r="L43" s="111">
        <f t="shared" si="29"/>
        <v>12</v>
      </c>
      <c r="M43" s="103">
        <f>SUM(M41:M42)</f>
        <v>82</v>
      </c>
      <c r="N43" s="104">
        <f t="shared" si="27"/>
        <v>4.6732434018932338E-2</v>
      </c>
      <c r="O43" s="111">
        <f t="shared" ref="O43:S43" si="30">SUM(O41:O42)</f>
        <v>33</v>
      </c>
      <c r="P43" s="111">
        <f t="shared" si="30"/>
        <v>16</v>
      </c>
      <c r="Q43" s="111">
        <f t="shared" si="30"/>
        <v>16</v>
      </c>
      <c r="R43" s="111">
        <f t="shared" si="30"/>
        <v>20</v>
      </c>
      <c r="S43" s="111">
        <f t="shared" si="30"/>
        <v>6</v>
      </c>
      <c r="T43" s="103">
        <f>SUM(T41:T42)</f>
        <v>91</v>
      </c>
      <c r="U43" s="104">
        <f>T43*100/$G43</f>
        <v>5.1861603606376129E-2</v>
      </c>
      <c r="V43" s="111">
        <f t="shared" ref="V43:Z43" si="31">SUM(V41:V42)</f>
        <v>18</v>
      </c>
      <c r="W43" s="111">
        <f t="shared" si="31"/>
        <v>15</v>
      </c>
      <c r="X43" s="111">
        <f t="shared" si="31"/>
        <v>29</v>
      </c>
      <c r="Y43" s="111">
        <f t="shared" si="31"/>
        <v>1</v>
      </c>
      <c r="Z43" s="111">
        <f t="shared" si="31"/>
        <v>14</v>
      </c>
      <c r="AA43" s="103">
        <f>SUM(AA41:AA42)</f>
        <v>77</v>
      </c>
      <c r="AB43" s="104">
        <f t="shared" si="28"/>
        <v>4.3882895359241336E-2</v>
      </c>
      <c r="AC43" s="107">
        <f>SUM(AC41:AC42)</f>
        <v>5</v>
      </c>
      <c r="AD43" s="107">
        <f t="shared" ref="AD43:AE43" si="32">SUM(AD41:AD42)</f>
        <v>0</v>
      </c>
      <c r="AE43" s="107">
        <f t="shared" si="32"/>
        <v>76</v>
      </c>
    </row>
    <row r="44" spans="1:31" ht="16.2" thickBot="1" x14ac:dyDescent="0.3">
      <c r="A44" s="121" t="s">
        <v>48</v>
      </c>
      <c r="B44" s="138">
        <f>B12+B26+B38+B43</f>
        <v>128897</v>
      </c>
      <c r="C44" s="134">
        <f>C12+C26+C38+C43</f>
        <v>67067</v>
      </c>
      <c r="D44" s="138">
        <f>D12+D26+D38+D43</f>
        <v>80685</v>
      </c>
      <c r="E44" s="134">
        <f>SUM(B44:D44)</f>
        <v>276649</v>
      </c>
      <c r="F44" s="134">
        <f t="shared" ref="F44" si="33">F12+F26+F38+F43</f>
        <v>88405</v>
      </c>
      <c r="G44" s="122">
        <f>G12+G26+G38+G43</f>
        <v>462314</v>
      </c>
      <c r="H44" s="122">
        <f t="shared" ref="H44:AE44" si="34">H11+H25+H38+H43</f>
        <v>160</v>
      </c>
      <c r="I44" s="122">
        <f t="shared" si="34"/>
        <v>100</v>
      </c>
      <c r="J44" s="122">
        <f t="shared" si="34"/>
        <v>90</v>
      </c>
      <c r="K44" s="122">
        <f t="shared" si="34"/>
        <v>212</v>
      </c>
      <c r="L44" s="122">
        <f t="shared" si="34"/>
        <v>76</v>
      </c>
      <c r="M44" s="122">
        <f t="shared" si="34"/>
        <v>638</v>
      </c>
      <c r="N44" s="123">
        <f>M44*100/G44</f>
        <v>0.13800144490541061</v>
      </c>
      <c r="O44" s="122">
        <f t="shared" si="34"/>
        <v>354</v>
      </c>
      <c r="P44" s="122">
        <f t="shared" si="34"/>
        <v>149</v>
      </c>
      <c r="Q44" s="122">
        <f t="shared" si="34"/>
        <v>138</v>
      </c>
      <c r="R44" s="122">
        <f t="shared" si="34"/>
        <v>366</v>
      </c>
      <c r="S44" s="122">
        <f t="shared" si="34"/>
        <v>139</v>
      </c>
      <c r="T44" s="122">
        <f t="shared" si="34"/>
        <v>1146</v>
      </c>
      <c r="U44" s="123">
        <f t="shared" ref="U44" si="35">T44*100/G44</f>
        <v>0.24788347313730494</v>
      </c>
      <c r="V44" s="122">
        <f t="shared" si="34"/>
        <v>336</v>
      </c>
      <c r="W44" s="122">
        <f t="shared" si="34"/>
        <v>159</v>
      </c>
      <c r="X44" s="122">
        <f t="shared" si="34"/>
        <v>41</v>
      </c>
      <c r="Y44" s="122">
        <f t="shared" si="34"/>
        <v>291</v>
      </c>
      <c r="Z44" s="122">
        <f t="shared" si="34"/>
        <v>197</v>
      </c>
      <c r="AA44" s="122">
        <f t="shared" si="34"/>
        <v>1024</v>
      </c>
      <c r="AB44" s="123">
        <f t="shared" ref="AB44" si="36">AA44*100/G44</f>
        <v>0.22149448210523584</v>
      </c>
      <c r="AC44" s="122">
        <f>AC11+AC25+AC38+AC43</f>
        <v>153</v>
      </c>
      <c r="AD44" s="122">
        <f t="shared" si="34"/>
        <v>37</v>
      </c>
      <c r="AE44" s="122">
        <f t="shared" si="34"/>
        <v>3638</v>
      </c>
    </row>
  </sheetData>
  <mergeCells count="9">
    <mergeCell ref="A1:AE1"/>
    <mergeCell ref="A3:A4"/>
    <mergeCell ref="B3:G3"/>
    <mergeCell ref="H3:M3"/>
    <mergeCell ref="N3:N4"/>
    <mergeCell ref="O3:T3"/>
    <mergeCell ref="U3:U4"/>
    <mergeCell ref="V3:AA3"/>
    <mergeCell ref="AB3:AB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4DF-C5FB-4B55-8A32-A1ADD375458A}">
  <dimension ref="A1:AE4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C11" sqref="AC11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110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196</v>
      </c>
      <c r="C6" s="97">
        <v>69</v>
      </c>
      <c r="D6" s="97">
        <v>268</v>
      </c>
      <c r="E6" s="137">
        <v>94</v>
      </c>
      <c r="F6" s="97">
        <v>145</v>
      </c>
      <c r="G6" s="98">
        <v>432</v>
      </c>
      <c r="H6" s="97">
        <v>2</v>
      </c>
      <c r="I6" s="97">
        <v>0</v>
      </c>
      <c r="J6" s="97">
        <v>0</v>
      </c>
      <c r="K6" s="97">
        <v>0</v>
      </c>
      <c r="L6" s="97">
        <v>0</v>
      </c>
      <c r="M6" s="101">
        <v>0</v>
      </c>
      <c r="N6" s="99">
        <f>M6*100/G6</f>
        <v>0</v>
      </c>
      <c r="O6" s="97">
        <v>0</v>
      </c>
      <c r="P6" s="97">
        <v>0</v>
      </c>
      <c r="Q6" s="97">
        <v>2</v>
      </c>
      <c r="R6" s="97">
        <v>0</v>
      </c>
      <c r="S6" s="97">
        <v>1</v>
      </c>
      <c r="T6" s="101">
        <v>5</v>
      </c>
      <c r="U6" s="99">
        <f>T6*100/G6</f>
        <v>1.1574074074074074</v>
      </c>
      <c r="V6" s="97">
        <v>2</v>
      </c>
      <c r="W6" s="97">
        <v>2</v>
      </c>
      <c r="X6" s="97">
        <v>6</v>
      </c>
      <c r="Y6" s="97">
        <v>0</v>
      </c>
      <c r="Z6" s="97">
        <v>0</v>
      </c>
      <c r="AA6" s="97">
        <v>0</v>
      </c>
      <c r="AB6" s="99">
        <f>AA6*100/G6</f>
        <v>0</v>
      </c>
      <c r="AC6" s="101">
        <v>0</v>
      </c>
      <c r="AD6" s="101">
        <v>0</v>
      </c>
      <c r="AE6" s="101">
        <v>15</v>
      </c>
    </row>
    <row r="7" spans="1:31" ht="14.4" thickBot="1" x14ac:dyDescent="0.3">
      <c r="A7" s="90" t="s">
        <v>2</v>
      </c>
      <c r="B7" s="97">
        <v>1358</v>
      </c>
      <c r="C7" s="97">
        <v>371</v>
      </c>
      <c r="D7" s="97">
        <v>1721</v>
      </c>
      <c r="E7" s="137">
        <v>1418</v>
      </c>
      <c r="F7" s="97">
        <v>713</v>
      </c>
      <c r="G7" s="98">
        <v>3503</v>
      </c>
      <c r="H7" s="97">
        <v>1</v>
      </c>
      <c r="I7" s="97">
        <v>1</v>
      </c>
      <c r="J7" s="97">
        <v>9</v>
      </c>
      <c r="K7" s="97">
        <v>1</v>
      </c>
      <c r="L7" s="97">
        <v>0</v>
      </c>
      <c r="M7" s="97">
        <v>5</v>
      </c>
      <c r="N7" s="99">
        <f>M7*100/G7</f>
        <v>0.14273479874393377</v>
      </c>
      <c r="O7" s="97">
        <v>13</v>
      </c>
      <c r="P7" s="97">
        <v>3</v>
      </c>
      <c r="Q7" s="97">
        <v>17</v>
      </c>
      <c r="R7" s="97">
        <v>8</v>
      </c>
      <c r="S7" s="97">
        <v>4</v>
      </c>
      <c r="T7" s="97">
        <v>10</v>
      </c>
      <c r="U7" s="99">
        <f>T7*100/G7</f>
        <v>0.28546959748786754</v>
      </c>
      <c r="V7" s="97">
        <v>8</v>
      </c>
      <c r="W7" s="97">
        <v>1</v>
      </c>
      <c r="X7" s="97">
        <v>33</v>
      </c>
      <c r="Y7" s="97">
        <v>6</v>
      </c>
      <c r="Z7" s="97">
        <v>4</v>
      </c>
      <c r="AA7" s="97">
        <v>5</v>
      </c>
      <c r="AB7" s="99">
        <f>AA7*100/G7</f>
        <v>0.14273479874393377</v>
      </c>
      <c r="AC7" s="101">
        <v>2</v>
      </c>
      <c r="AD7" s="101">
        <v>1</v>
      </c>
      <c r="AE7" s="101">
        <v>109</v>
      </c>
    </row>
    <row r="8" spans="1:31" ht="14.4" thickBot="1" x14ac:dyDescent="0.3">
      <c r="A8" s="90" t="s">
        <v>14</v>
      </c>
      <c r="B8" s="97">
        <v>153</v>
      </c>
      <c r="C8" s="97">
        <v>87</v>
      </c>
      <c r="D8" s="97">
        <v>245</v>
      </c>
      <c r="E8" s="137">
        <v>162</v>
      </c>
      <c r="F8" s="97">
        <v>84</v>
      </c>
      <c r="G8" s="98">
        <v>462</v>
      </c>
      <c r="H8" s="97">
        <v>1</v>
      </c>
      <c r="I8" s="97">
        <v>0</v>
      </c>
      <c r="J8" s="97">
        <v>0</v>
      </c>
      <c r="K8" s="97">
        <v>0</v>
      </c>
      <c r="L8" s="97">
        <v>0</v>
      </c>
      <c r="M8" s="101">
        <v>1</v>
      </c>
      <c r="N8" s="99">
        <f>M8*100/G8</f>
        <v>0.21645021645021645</v>
      </c>
      <c r="O8" s="97">
        <v>0</v>
      </c>
      <c r="P8" s="97">
        <v>0</v>
      </c>
      <c r="Q8" s="97">
        <v>1</v>
      </c>
      <c r="R8" s="97">
        <v>0</v>
      </c>
      <c r="S8" s="97">
        <v>0</v>
      </c>
      <c r="T8" s="101">
        <v>2</v>
      </c>
      <c r="U8" s="99">
        <f t="shared" ref="U8:U43" si="0">T8*100/G8</f>
        <v>0.4329004329004329</v>
      </c>
      <c r="V8" s="97">
        <v>1</v>
      </c>
      <c r="W8" s="97">
        <v>0</v>
      </c>
      <c r="X8" s="97">
        <v>6</v>
      </c>
      <c r="Y8" s="97">
        <v>0</v>
      </c>
      <c r="Z8" s="97">
        <v>0</v>
      </c>
      <c r="AA8" s="97">
        <v>0</v>
      </c>
      <c r="AB8" s="99">
        <f t="shared" ref="AB8:AB43" si="1">AA8*100/G8</f>
        <v>0</v>
      </c>
      <c r="AC8" s="101">
        <v>0</v>
      </c>
      <c r="AD8" s="101">
        <v>0</v>
      </c>
      <c r="AE8" s="101">
        <v>10</v>
      </c>
    </row>
    <row r="9" spans="1:31" ht="14.4" thickBot="1" x14ac:dyDescent="0.3">
      <c r="A9" s="90" t="s">
        <v>3</v>
      </c>
      <c r="B9" s="97">
        <v>147</v>
      </c>
      <c r="C9" s="97">
        <v>85</v>
      </c>
      <c r="D9" s="97">
        <v>268</v>
      </c>
      <c r="E9" s="137">
        <v>243</v>
      </c>
      <c r="F9" s="97">
        <v>94</v>
      </c>
      <c r="G9" s="98">
        <v>627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3</v>
      </c>
      <c r="N9" s="99">
        <f>M9*100/G9</f>
        <v>0.4784688995215311</v>
      </c>
      <c r="O9" s="97">
        <v>3</v>
      </c>
      <c r="P9" s="97">
        <v>0</v>
      </c>
      <c r="Q9" s="97">
        <v>5</v>
      </c>
      <c r="R9" s="97">
        <v>2</v>
      </c>
      <c r="S9" s="97">
        <v>0</v>
      </c>
      <c r="T9" s="97">
        <v>1</v>
      </c>
      <c r="U9" s="99">
        <f t="shared" si="0"/>
        <v>0.15948963317384371</v>
      </c>
      <c r="V9" s="97">
        <v>0</v>
      </c>
      <c r="W9" s="97">
        <v>0</v>
      </c>
      <c r="X9" s="97">
        <v>6</v>
      </c>
      <c r="Y9" s="97">
        <v>3</v>
      </c>
      <c r="Z9" s="97">
        <v>1</v>
      </c>
      <c r="AA9" s="97">
        <v>3</v>
      </c>
      <c r="AB9" s="99">
        <f t="shared" si="1"/>
        <v>0.4784688995215311</v>
      </c>
      <c r="AC9" s="101">
        <v>1</v>
      </c>
      <c r="AD9" s="101">
        <v>0</v>
      </c>
      <c r="AE9" s="101">
        <v>22</v>
      </c>
    </row>
    <row r="10" spans="1:31" ht="23.4" thickBot="1" x14ac:dyDescent="0.3">
      <c r="A10" s="139" t="s">
        <v>23</v>
      </c>
      <c r="B10" s="97">
        <v>1074</v>
      </c>
      <c r="C10" s="97">
        <v>243</v>
      </c>
      <c r="D10" s="97">
        <v>1310</v>
      </c>
      <c r="E10" s="137">
        <v>752</v>
      </c>
      <c r="F10" s="97">
        <v>524</v>
      </c>
      <c r="G10" s="98">
        <v>3559</v>
      </c>
      <c r="H10" s="97">
        <v>4</v>
      </c>
      <c r="I10" s="97">
        <v>0</v>
      </c>
      <c r="J10" s="97">
        <v>2</v>
      </c>
      <c r="K10" s="97">
        <v>3</v>
      </c>
      <c r="L10" s="97">
        <v>0</v>
      </c>
      <c r="M10" s="97">
        <v>5</v>
      </c>
      <c r="N10" s="99">
        <f>M10*100/G10</f>
        <v>0.14048890137679124</v>
      </c>
      <c r="O10" s="97">
        <v>15</v>
      </c>
      <c r="P10" s="97">
        <v>0</v>
      </c>
      <c r="Q10" s="97">
        <v>7</v>
      </c>
      <c r="R10" s="97">
        <v>11</v>
      </c>
      <c r="S10" s="97">
        <v>2</v>
      </c>
      <c r="T10" s="100">
        <v>15</v>
      </c>
      <c r="U10" s="99">
        <f t="shared" si="0"/>
        <v>0.42146670413037368</v>
      </c>
      <c r="V10" s="97">
        <v>7</v>
      </c>
      <c r="W10" s="97">
        <v>2</v>
      </c>
      <c r="X10" s="97">
        <v>17</v>
      </c>
      <c r="Y10" s="97">
        <v>0</v>
      </c>
      <c r="Z10" s="97">
        <v>0</v>
      </c>
      <c r="AA10" s="97">
        <v>5</v>
      </c>
      <c r="AB10" s="99">
        <f t="shared" si="1"/>
        <v>0.14048890137679124</v>
      </c>
      <c r="AC10" s="101">
        <v>3</v>
      </c>
      <c r="AD10" s="101">
        <v>0</v>
      </c>
      <c r="AE10" s="101">
        <v>91</v>
      </c>
    </row>
    <row r="11" spans="1:31" s="132" customFormat="1" ht="14.4" thickBot="1" x14ac:dyDescent="0.3">
      <c r="A11" s="124" t="s">
        <v>21</v>
      </c>
      <c r="B11" s="105">
        <f t="shared" ref="B11:F11" si="2">SUM(B6:B10)</f>
        <v>2928</v>
      </c>
      <c r="C11" s="105">
        <f t="shared" si="2"/>
        <v>855</v>
      </c>
      <c r="D11" s="105">
        <f t="shared" si="2"/>
        <v>3812</v>
      </c>
      <c r="E11" s="105">
        <f t="shared" si="2"/>
        <v>2669</v>
      </c>
      <c r="F11" s="105">
        <f t="shared" si="2"/>
        <v>1560</v>
      </c>
      <c r="G11" s="102">
        <f t="shared" ref="G11:M11" si="3">SUM(G6:G10)</f>
        <v>8583</v>
      </c>
      <c r="H11" s="111">
        <f t="shared" si="3"/>
        <v>8</v>
      </c>
      <c r="I11" s="111">
        <f t="shared" si="3"/>
        <v>1</v>
      </c>
      <c r="J11" s="111">
        <f t="shared" si="3"/>
        <v>11</v>
      </c>
      <c r="K11" s="111">
        <f t="shared" si="3"/>
        <v>4</v>
      </c>
      <c r="L11" s="111">
        <f t="shared" si="3"/>
        <v>0</v>
      </c>
      <c r="M11" s="103">
        <f t="shared" si="3"/>
        <v>14</v>
      </c>
      <c r="N11" s="104">
        <f t="shared" ref="N11:N43" si="4">M11*100/G11</f>
        <v>0.16311313060701385</v>
      </c>
      <c r="O11" s="105">
        <f>SUM(O7:O10)</f>
        <v>31</v>
      </c>
      <c r="P11" s="105">
        <f>SUM(P6:P10)</f>
        <v>3</v>
      </c>
      <c r="Q11" s="105">
        <f>SUM(Q6:Q10)</f>
        <v>32</v>
      </c>
      <c r="R11" s="105">
        <f>SUM(R6:R10)</f>
        <v>21</v>
      </c>
      <c r="S11" s="105">
        <f>SUM(S6:S10)</f>
        <v>7</v>
      </c>
      <c r="T11" s="103">
        <f>SUM(T6:T10)</f>
        <v>33</v>
      </c>
      <c r="U11" s="104">
        <f t="shared" si="0"/>
        <v>0.38448095071653265</v>
      </c>
      <c r="V11" s="105">
        <v>18</v>
      </c>
      <c r="W11" s="105">
        <v>5</v>
      </c>
      <c r="X11" s="105">
        <v>68</v>
      </c>
      <c r="Y11" s="105">
        <v>9</v>
      </c>
      <c r="Z11" s="105">
        <v>5</v>
      </c>
      <c r="AA11" s="106">
        <f>SUM(AA6:AA10)</f>
        <v>13</v>
      </c>
      <c r="AB11" s="104">
        <f t="shared" si="1"/>
        <v>0.15146219270651287</v>
      </c>
      <c r="AC11" s="107">
        <f>SUM(AC6:AC10)</f>
        <v>6</v>
      </c>
      <c r="AD11" s="107">
        <f>SUM(AD6:AD10)</f>
        <v>1</v>
      </c>
      <c r="AE11" s="107">
        <f>SUM(AE6:AE10)</f>
        <v>247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56</v>
      </c>
      <c r="C14" s="97">
        <v>6</v>
      </c>
      <c r="D14" s="97">
        <v>82</v>
      </c>
      <c r="E14" s="97">
        <v>25</v>
      </c>
      <c r="F14" s="97">
        <v>24</v>
      </c>
      <c r="G14" s="98">
        <v>104</v>
      </c>
      <c r="H14" s="97">
        <v>0</v>
      </c>
      <c r="I14" s="97">
        <v>0</v>
      </c>
      <c r="J14" s="97">
        <v>0</v>
      </c>
      <c r="K14" s="97">
        <v>1</v>
      </c>
      <c r="L14" s="97">
        <v>0</v>
      </c>
      <c r="M14" s="101">
        <v>0</v>
      </c>
      <c r="N14" s="99">
        <f t="shared" si="4"/>
        <v>0</v>
      </c>
      <c r="O14" s="97">
        <v>0</v>
      </c>
      <c r="P14" s="97">
        <v>0</v>
      </c>
      <c r="Q14" s="97">
        <v>0</v>
      </c>
      <c r="R14" s="97">
        <v>1</v>
      </c>
      <c r="S14" s="97">
        <v>0</v>
      </c>
      <c r="T14" s="97">
        <v>0</v>
      </c>
      <c r="U14" s="99">
        <f t="shared" si="0"/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v>0</v>
      </c>
      <c r="AB14" s="99">
        <f t="shared" si="1"/>
        <v>0</v>
      </c>
      <c r="AC14" s="101">
        <v>0</v>
      </c>
      <c r="AD14" s="101">
        <v>0</v>
      </c>
      <c r="AE14" s="101">
        <v>4</v>
      </c>
    </row>
    <row r="15" spans="1:31" ht="14.4" thickBot="1" x14ac:dyDescent="0.3">
      <c r="A15" s="89" t="s">
        <v>5</v>
      </c>
      <c r="B15" s="97">
        <v>88</v>
      </c>
      <c r="C15" s="97">
        <v>31</v>
      </c>
      <c r="D15" s="97">
        <v>181</v>
      </c>
      <c r="E15" s="97">
        <v>190</v>
      </c>
      <c r="F15" s="97">
        <v>63</v>
      </c>
      <c r="G15" s="98">
        <v>735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3</v>
      </c>
      <c r="N15" s="99">
        <f t="shared" si="4"/>
        <v>0.40816326530612246</v>
      </c>
      <c r="O15" s="97">
        <v>0</v>
      </c>
      <c r="P15" s="97">
        <v>0</v>
      </c>
      <c r="Q15" s="97">
        <v>3</v>
      </c>
      <c r="R15" s="97">
        <v>2</v>
      </c>
      <c r="S15" s="97">
        <v>0</v>
      </c>
      <c r="T15" s="97">
        <v>8</v>
      </c>
      <c r="U15" s="99">
        <f t="shared" si="0"/>
        <v>1.08843537414966</v>
      </c>
      <c r="V15" s="97">
        <v>0</v>
      </c>
      <c r="W15" s="97">
        <v>0</v>
      </c>
      <c r="X15" s="97">
        <v>0</v>
      </c>
      <c r="Y15" s="97">
        <v>3</v>
      </c>
      <c r="Z15" s="97">
        <v>1</v>
      </c>
      <c r="AA15" s="97">
        <v>7</v>
      </c>
      <c r="AB15" s="99">
        <f t="shared" si="1"/>
        <v>0.95238095238095233</v>
      </c>
      <c r="AC15" s="101">
        <v>3</v>
      </c>
      <c r="AD15" s="101">
        <v>0</v>
      </c>
      <c r="AE15" s="101">
        <v>48</v>
      </c>
    </row>
    <row r="16" spans="1:31" ht="14.4" thickBot="1" x14ac:dyDescent="0.3">
      <c r="A16" s="89" t="s">
        <v>6</v>
      </c>
      <c r="B16" s="109">
        <v>48</v>
      </c>
      <c r="C16" s="97">
        <v>26</v>
      </c>
      <c r="D16" s="97">
        <v>58</v>
      </c>
      <c r="E16" s="97">
        <v>61</v>
      </c>
      <c r="F16" s="97">
        <v>36</v>
      </c>
      <c r="G16" s="98">
        <v>234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v>1</v>
      </c>
      <c r="N16" s="99">
        <f t="shared" si="4"/>
        <v>0.42735042735042733</v>
      </c>
      <c r="O16" s="97">
        <v>0</v>
      </c>
      <c r="P16" s="97">
        <v>0</v>
      </c>
      <c r="Q16" s="97">
        <v>2</v>
      </c>
      <c r="R16" s="97">
        <v>0</v>
      </c>
      <c r="S16" s="97">
        <v>0</v>
      </c>
      <c r="T16" s="97">
        <v>0</v>
      </c>
      <c r="U16" s="99">
        <f t="shared" si="0"/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9">
        <f t="shared" si="1"/>
        <v>0</v>
      </c>
      <c r="AC16" s="101">
        <v>1</v>
      </c>
      <c r="AD16" s="101">
        <v>0</v>
      </c>
      <c r="AE16" s="101">
        <v>4</v>
      </c>
    </row>
    <row r="17" spans="1:31" ht="14.4" thickBot="1" x14ac:dyDescent="0.3">
      <c r="A17" s="89" t="s">
        <v>7</v>
      </c>
      <c r="B17" s="97">
        <v>69</v>
      </c>
      <c r="C17" s="97">
        <v>21</v>
      </c>
      <c r="D17" s="97">
        <v>45</v>
      </c>
      <c r="E17" s="97">
        <v>32</v>
      </c>
      <c r="F17" s="97">
        <v>22</v>
      </c>
      <c r="G17" s="98">
        <v>143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v>0</v>
      </c>
      <c r="N17" s="99">
        <f t="shared" si="4"/>
        <v>0</v>
      </c>
      <c r="O17" s="97">
        <v>1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9">
        <f t="shared" si="0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101">
        <v>0</v>
      </c>
      <c r="AB17" s="99">
        <f t="shared" si="1"/>
        <v>0</v>
      </c>
      <c r="AC17" s="101">
        <v>2</v>
      </c>
      <c r="AD17" s="101">
        <v>0</v>
      </c>
      <c r="AE17" s="101">
        <v>0</v>
      </c>
    </row>
    <row r="18" spans="1:31" ht="14.4" thickBot="1" x14ac:dyDescent="0.3">
      <c r="A18" s="89" t="s">
        <v>8</v>
      </c>
      <c r="B18" s="97">
        <v>7</v>
      </c>
      <c r="C18" s="97">
        <v>2</v>
      </c>
      <c r="D18" s="97">
        <v>8</v>
      </c>
      <c r="E18" s="97">
        <v>12</v>
      </c>
      <c r="F18" s="97">
        <v>2</v>
      </c>
      <c r="G18" s="98">
        <v>35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9">
        <f t="shared" si="4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v>0</v>
      </c>
      <c r="U18" s="99">
        <f t="shared" si="0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2</v>
      </c>
      <c r="AB18" s="99">
        <f t="shared" si="1"/>
        <v>5.7142857142857144</v>
      </c>
      <c r="AC18" s="101">
        <v>0</v>
      </c>
      <c r="AD18" s="101">
        <v>0</v>
      </c>
      <c r="AE18" s="101">
        <v>0</v>
      </c>
    </row>
    <row r="19" spans="1:31" ht="14.4" thickBot="1" x14ac:dyDescent="0.3">
      <c r="A19" s="89" t="s">
        <v>9</v>
      </c>
      <c r="B19" s="97">
        <v>29</v>
      </c>
      <c r="C19" s="97">
        <v>13</v>
      </c>
      <c r="D19" s="97">
        <v>42</v>
      </c>
      <c r="E19" s="97">
        <v>37</v>
      </c>
      <c r="F19" s="97">
        <v>15</v>
      </c>
      <c r="G19" s="98">
        <v>80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v>0</v>
      </c>
      <c r="N19" s="99">
        <f t="shared" si="4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v>0</v>
      </c>
      <c r="U19" s="99">
        <f t="shared" si="0"/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v>0</v>
      </c>
      <c r="AB19" s="99">
        <f t="shared" si="1"/>
        <v>0</v>
      </c>
      <c r="AC19" s="101">
        <v>0</v>
      </c>
      <c r="AD19" s="101">
        <v>0</v>
      </c>
      <c r="AE19" s="101">
        <v>0</v>
      </c>
    </row>
    <row r="20" spans="1:31" ht="14.4" thickBot="1" x14ac:dyDescent="0.3">
      <c r="A20" s="89" t="s">
        <v>10</v>
      </c>
      <c r="B20" s="97">
        <v>9</v>
      </c>
      <c r="C20" s="97">
        <v>5</v>
      </c>
      <c r="D20" s="97">
        <v>12</v>
      </c>
      <c r="E20" s="97">
        <v>23</v>
      </c>
      <c r="F20" s="97">
        <v>3</v>
      </c>
      <c r="G20" s="98">
        <v>54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v>0</v>
      </c>
      <c r="N20" s="99">
        <f t="shared" si="4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v>0</v>
      </c>
      <c r="U20" s="99">
        <f t="shared" si="0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v>0</v>
      </c>
      <c r="AB20" s="99">
        <f t="shared" si="1"/>
        <v>0</v>
      </c>
      <c r="AC20" s="101">
        <v>0</v>
      </c>
      <c r="AD20" s="101">
        <v>0</v>
      </c>
      <c r="AE20" s="101">
        <v>0</v>
      </c>
    </row>
    <row r="21" spans="1:31" ht="14.4" thickBot="1" x14ac:dyDescent="0.3">
      <c r="A21" s="89" t="s">
        <v>11</v>
      </c>
      <c r="B21" s="97">
        <v>50</v>
      </c>
      <c r="C21" s="97">
        <v>12</v>
      </c>
      <c r="D21" s="97">
        <v>74</v>
      </c>
      <c r="E21" s="97">
        <v>97</v>
      </c>
      <c r="F21" s="97">
        <v>29</v>
      </c>
      <c r="G21" s="98">
        <v>264</v>
      </c>
      <c r="H21" s="97">
        <v>0</v>
      </c>
      <c r="I21" s="97">
        <v>0</v>
      </c>
      <c r="J21" s="97">
        <v>0</v>
      </c>
      <c r="K21" s="97">
        <v>1</v>
      </c>
      <c r="L21" s="97">
        <v>0</v>
      </c>
      <c r="M21" s="97">
        <v>0</v>
      </c>
      <c r="N21" s="99">
        <f t="shared" si="4"/>
        <v>0</v>
      </c>
      <c r="O21" s="97">
        <v>0</v>
      </c>
      <c r="P21" s="97">
        <v>0</v>
      </c>
      <c r="Q21" s="97">
        <v>1</v>
      </c>
      <c r="R21" s="97">
        <v>0</v>
      </c>
      <c r="S21" s="97">
        <v>0</v>
      </c>
      <c r="T21" s="97">
        <v>5</v>
      </c>
      <c r="U21" s="99">
        <f t="shared" si="0"/>
        <v>1.893939393939394</v>
      </c>
      <c r="V21" s="97">
        <v>0</v>
      </c>
      <c r="W21" s="97">
        <v>0</v>
      </c>
      <c r="X21" s="97">
        <v>2</v>
      </c>
      <c r="Y21" s="97">
        <v>2</v>
      </c>
      <c r="Z21" s="97">
        <v>0</v>
      </c>
      <c r="AA21" s="97">
        <v>2</v>
      </c>
      <c r="AB21" s="99">
        <f t="shared" si="1"/>
        <v>0.75757575757575757</v>
      </c>
      <c r="AC21" s="101">
        <v>0</v>
      </c>
      <c r="AD21" s="101">
        <v>1</v>
      </c>
      <c r="AE21" s="101">
        <v>6</v>
      </c>
    </row>
    <row r="22" spans="1:31" ht="14.4" thickBot="1" x14ac:dyDescent="0.3">
      <c r="A22" s="89" t="s">
        <v>12</v>
      </c>
      <c r="B22" s="97">
        <v>1685</v>
      </c>
      <c r="C22" s="97">
        <v>868</v>
      </c>
      <c r="D22" s="97">
        <v>3157</v>
      </c>
      <c r="E22" s="97">
        <v>2444</v>
      </c>
      <c r="F22" s="97">
        <v>1110</v>
      </c>
      <c r="G22" s="98">
        <v>6903</v>
      </c>
      <c r="H22" s="97">
        <v>7</v>
      </c>
      <c r="I22" s="97">
        <v>2</v>
      </c>
      <c r="J22" s="97">
        <v>9</v>
      </c>
      <c r="K22" s="97">
        <v>9</v>
      </c>
      <c r="L22" s="97">
        <v>1</v>
      </c>
      <c r="M22" s="97">
        <v>29</v>
      </c>
      <c r="N22" s="99">
        <f t="shared" si="4"/>
        <v>0.4201071997682167</v>
      </c>
      <c r="O22" s="97">
        <v>6</v>
      </c>
      <c r="P22" s="97">
        <v>4</v>
      </c>
      <c r="Q22" s="97">
        <v>34</v>
      </c>
      <c r="R22" s="97">
        <v>7</v>
      </c>
      <c r="S22" s="97">
        <v>3</v>
      </c>
      <c r="T22" s="97">
        <v>39</v>
      </c>
      <c r="U22" s="99">
        <f t="shared" si="0"/>
        <v>0.56497175141242939</v>
      </c>
      <c r="V22" s="97">
        <v>4</v>
      </c>
      <c r="W22" s="97">
        <v>4</v>
      </c>
      <c r="X22" s="97">
        <v>72</v>
      </c>
      <c r="Y22" s="97">
        <v>11</v>
      </c>
      <c r="Z22" s="97">
        <v>1</v>
      </c>
      <c r="AA22" s="97">
        <v>8</v>
      </c>
      <c r="AB22" s="99">
        <f t="shared" si="1"/>
        <v>0.11589164131537012</v>
      </c>
      <c r="AC22" s="101">
        <v>11</v>
      </c>
      <c r="AD22" s="101">
        <v>4</v>
      </c>
      <c r="AE22" s="101">
        <v>156</v>
      </c>
    </row>
    <row r="23" spans="1:31" ht="14.4" thickBot="1" x14ac:dyDescent="0.3">
      <c r="A23" s="89" t="s">
        <v>13</v>
      </c>
      <c r="B23" s="97">
        <v>10</v>
      </c>
      <c r="C23" s="97">
        <v>3</v>
      </c>
      <c r="D23" s="97">
        <v>4</v>
      </c>
      <c r="E23" s="97">
        <v>6</v>
      </c>
      <c r="F23" s="97">
        <v>3</v>
      </c>
      <c r="G23" s="98">
        <v>23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9">
        <f t="shared" si="4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9">
        <f t="shared" si="0"/>
        <v>0</v>
      </c>
      <c r="V23" s="97">
        <v>0</v>
      </c>
      <c r="W23" s="97">
        <v>0</v>
      </c>
      <c r="X23" s="97">
        <v>0</v>
      </c>
      <c r="Y23" s="97">
        <v>1</v>
      </c>
      <c r="Z23" s="97">
        <v>0</v>
      </c>
      <c r="AA23" s="97">
        <v>0</v>
      </c>
      <c r="AB23" s="99">
        <f t="shared" si="1"/>
        <v>0</v>
      </c>
      <c r="AC23" s="101">
        <v>0</v>
      </c>
      <c r="AD23" s="101">
        <v>0</v>
      </c>
      <c r="AE23" s="101">
        <v>0</v>
      </c>
    </row>
    <row r="24" spans="1:31" ht="23.4" thickBot="1" x14ac:dyDescent="0.3">
      <c r="A24" s="139" t="s">
        <v>23</v>
      </c>
      <c r="B24" s="110">
        <v>319</v>
      </c>
      <c r="C24" s="110">
        <v>59</v>
      </c>
      <c r="D24" s="97">
        <v>0</v>
      </c>
      <c r="E24" s="110">
        <v>380</v>
      </c>
      <c r="F24" s="97">
        <v>200</v>
      </c>
      <c r="G24" s="98">
        <v>1890</v>
      </c>
      <c r="H24" s="110">
        <v>0</v>
      </c>
      <c r="I24" s="97">
        <v>0</v>
      </c>
      <c r="J24" s="97">
        <v>0</v>
      </c>
      <c r="K24" s="97">
        <v>0</v>
      </c>
      <c r="L24" s="97">
        <v>0</v>
      </c>
      <c r="M24" s="97">
        <v>3</v>
      </c>
      <c r="N24" s="99">
        <f t="shared" si="4"/>
        <v>0.15873015873015872</v>
      </c>
      <c r="O24" s="110">
        <v>0</v>
      </c>
      <c r="P24" s="97">
        <v>0</v>
      </c>
      <c r="Q24" s="110">
        <v>0</v>
      </c>
      <c r="R24" s="110">
        <v>0</v>
      </c>
      <c r="S24" s="97">
        <v>0</v>
      </c>
      <c r="T24" s="97">
        <v>12</v>
      </c>
      <c r="U24" s="99">
        <f t="shared" si="0"/>
        <v>0.63492063492063489</v>
      </c>
      <c r="V24" s="110">
        <v>1</v>
      </c>
      <c r="W24" s="110">
        <v>0</v>
      </c>
      <c r="X24" s="110">
        <v>0</v>
      </c>
      <c r="Y24" s="110">
        <v>0</v>
      </c>
      <c r="Z24" s="110">
        <v>0</v>
      </c>
      <c r="AA24" s="97">
        <v>4</v>
      </c>
      <c r="AB24" s="99">
        <f t="shared" si="1"/>
        <v>0.21164021164021163</v>
      </c>
      <c r="AC24" s="101">
        <v>0</v>
      </c>
      <c r="AD24" s="101">
        <v>1</v>
      </c>
      <c r="AE24" s="101">
        <v>30</v>
      </c>
    </row>
    <row r="25" spans="1:31" s="132" customFormat="1" ht="14.4" thickBot="1" x14ac:dyDescent="0.3">
      <c r="A25" s="128" t="s">
        <v>22</v>
      </c>
      <c r="B25" s="111">
        <f t="shared" ref="B25:L25" si="5">SUM(B14:B24)</f>
        <v>2370</v>
      </c>
      <c r="C25" s="111">
        <f t="shared" si="5"/>
        <v>1046</v>
      </c>
      <c r="D25" s="111">
        <f t="shared" si="5"/>
        <v>3663</v>
      </c>
      <c r="E25" s="111">
        <f t="shared" si="5"/>
        <v>3307</v>
      </c>
      <c r="F25" s="111">
        <f t="shared" si="5"/>
        <v>1507</v>
      </c>
      <c r="G25" s="102">
        <f>SUM(G14:G24)</f>
        <v>10465</v>
      </c>
      <c r="H25" s="111">
        <f t="shared" si="5"/>
        <v>7</v>
      </c>
      <c r="I25" s="111">
        <f t="shared" si="5"/>
        <v>2</v>
      </c>
      <c r="J25" s="111">
        <f t="shared" si="5"/>
        <v>9</v>
      </c>
      <c r="K25" s="111">
        <f t="shared" si="5"/>
        <v>11</v>
      </c>
      <c r="L25" s="111">
        <f t="shared" si="5"/>
        <v>1</v>
      </c>
      <c r="M25" s="103">
        <f>SUM(M14:M24)</f>
        <v>36</v>
      </c>
      <c r="N25" s="104">
        <f t="shared" si="4"/>
        <v>0.34400382226469184</v>
      </c>
      <c r="O25" s="111">
        <f>SUM(O17:O24)</f>
        <v>8</v>
      </c>
      <c r="P25" s="111">
        <f>SUM(P14:P24)</f>
        <v>4</v>
      </c>
      <c r="Q25" s="111">
        <f>SUM(Q14:Q24)</f>
        <v>40</v>
      </c>
      <c r="R25" s="111">
        <f>SUM(R14:R24)</f>
        <v>10</v>
      </c>
      <c r="S25" s="111">
        <f>SUM(S14:S24)</f>
        <v>3</v>
      </c>
      <c r="T25" s="103">
        <f>SUM(T14:T24)</f>
        <v>64</v>
      </c>
      <c r="U25" s="104">
        <f t="shared" si="0"/>
        <v>0.61156235069278553</v>
      </c>
      <c r="V25" s="111">
        <v>5</v>
      </c>
      <c r="W25" s="111">
        <v>4</v>
      </c>
      <c r="X25" s="111">
        <v>74</v>
      </c>
      <c r="Y25" s="111">
        <v>17</v>
      </c>
      <c r="Z25" s="111">
        <v>2</v>
      </c>
      <c r="AA25" s="103">
        <f>SUM(AA14:AA24)</f>
        <v>23</v>
      </c>
      <c r="AB25" s="104">
        <f t="shared" si="1"/>
        <v>0.21978021978021978</v>
      </c>
      <c r="AC25" s="107">
        <f>SUM(AC14:AC24)</f>
        <v>17</v>
      </c>
      <c r="AD25" s="107">
        <f>SUM(AD14:AD24)</f>
        <v>6</v>
      </c>
      <c r="AE25" s="107">
        <f>SUM(AE14:AE24)</f>
        <v>248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2983</v>
      </c>
      <c r="C28" s="97">
        <v>1480</v>
      </c>
      <c r="D28" s="97">
        <v>3213</v>
      </c>
      <c r="E28" s="97">
        <v>3012</v>
      </c>
      <c r="F28" s="97">
        <v>3142</v>
      </c>
      <c r="G28" s="98">
        <v>15753</v>
      </c>
      <c r="H28" s="97">
        <v>5</v>
      </c>
      <c r="I28" s="97">
        <v>0</v>
      </c>
      <c r="J28" s="97">
        <v>17</v>
      </c>
      <c r="K28" s="97">
        <v>0</v>
      </c>
      <c r="L28" s="97">
        <v>1</v>
      </c>
      <c r="M28" s="97">
        <v>10</v>
      </c>
      <c r="N28" s="99">
        <f t="shared" si="4"/>
        <v>6.3479972068812285E-2</v>
      </c>
      <c r="O28" s="97">
        <v>8</v>
      </c>
      <c r="P28" s="97">
        <v>3</v>
      </c>
      <c r="Q28" s="97">
        <v>8</v>
      </c>
      <c r="R28" s="97">
        <v>1</v>
      </c>
      <c r="S28" s="97">
        <v>1</v>
      </c>
      <c r="T28" s="97">
        <v>25</v>
      </c>
      <c r="U28" s="99">
        <f t="shared" si="0"/>
        <v>0.15869993017203071</v>
      </c>
      <c r="V28" s="97">
        <v>7</v>
      </c>
      <c r="W28" s="97">
        <v>2</v>
      </c>
      <c r="X28" s="97">
        <v>14</v>
      </c>
      <c r="Y28" s="97">
        <v>2</v>
      </c>
      <c r="Z28" s="97">
        <v>2</v>
      </c>
      <c r="AA28" s="97">
        <v>6</v>
      </c>
      <c r="AB28" s="99">
        <f t="shared" si="1"/>
        <v>3.8087983241287371E-2</v>
      </c>
      <c r="AC28" s="101">
        <v>2</v>
      </c>
      <c r="AD28" s="101">
        <v>0</v>
      </c>
      <c r="AE28" s="101">
        <v>92</v>
      </c>
    </row>
    <row r="29" spans="1:31" ht="14.4" thickBot="1" x14ac:dyDescent="0.3">
      <c r="A29" s="89" t="s">
        <v>16</v>
      </c>
      <c r="B29" s="97">
        <v>1098</v>
      </c>
      <c r="C29" s="97">
        <v>745</v>
      </c>
      <c r="D29" s="97">
        <v>1910</v>
      </c>
      <c r="E29" s="97">
        <v>1601</v>
      </c>
      <c r="F29" s="97">
        <v>901</v>
      </c>
      <c r="G29" s="98">
        <v>6845</v>
      </c>
      <c r="H29" s="97">
        <v>2</v>
      </c>
      <c r="I29" s="97">
        <v>1</v>
      </c>
      <c r="J29" s="97">
        <v>6</v>
      </c>
      <c r="K29" s="97">
        <v>7</v>
      </c>
      <c r="L29" s="97">
        <v>1</v>
      </c>
      <c r="M29" s="97">
        <v>15</v>
      </c>
      <c r="N29" s="99">
        <f t="shared" si="4"/>
        <v>0.21913805697589481</v>
      </c>
      <c r="O29" s="97">
        <v>5</v>
      </c>
      <c r="P29" s="97">
        <v>0</v>
      </c>
      <c r="Q29" s="97">
        <v>15</v>
      </c>
      <c r="R29" s="97">
        <v>2</v>
      </c>
      <c r="S29" s="97">
        <v>0</v>
      </c>
      <c r="T29" s="97">
        <v>21</v>
      </c>
      <c r="U29" s="99">
        <f t="shared" si="0"/>
        <v>0.30679327976625276</v>
      </c>
      <c r="V29" s="97">
        <v>4</v>
      </c>
      <c r="W29" s="97">
        <v>2</v>
      </c>
      <c r="X29" s="97">
        <v>10</v>
      </c>
      <c r="Y29" s="97">
        <v>4</v>
      </c>
      <c r="Z29" s="97">
        <v>0</v>
      </c>
      <c r="AA29" s="97">
        <v>9</v>
      </c>
      <c r="AB29" s="99">
        <f t="shared" si="1"/>
        <v>0.13148283418553688</v>
      </c>
      <c r="AC29" s="101">
        <v>7</v>
      </c>
      <c r="AD29" s="101">
        <v>1</v>
      </c>
      <c r="AE29" s="101">
        <v>91</v>
      </c>
    </row>
    <row r="30" spans="1:31" ht="14.4" thickBot="1" x14ac:dyDescent="0.3">
      <c r="A30" s="89" t="s">
        <v>34</v>
      </c>
      <c r="B30" s="97">
        <v>913</v>
      </c>
      <c r="C30" s="97">
        <v>502</v>
      </c>
      <c r="D30" s="97">
        <v>925</v>
      </c>
      <c r="E30" s="97">
        <v>900</v>
      </c>
      <c r="F30" s="97">
        <v>1082</v>
      </c>
      <c r="G30" s="98">
        <v>4807</v>
      </c>
      <c r="H30" s="97">
        <v>3</v>
      </c>
      <c r="I30" s="97">
        <v>1</v>
      </c>
      <c r="J30" s="97">
        <v>2</v>
      </c>
      <c r="K30" s="97">
        <v>0</v>
      </c>
      <c r="L30" s="97">
        <v>0</v>
      </c>
      <c r="M30" s="97">
        <v>8</v>
      </c>
      <c r="N30" s="99">
        <f t="shared" si="4"/>
        <v>0.16642396505096735</v>
      </c>
      <c r="O30" s="97">
        <v>10</v>
      </c>
      <c r="P30" s="97">
        <v>1</v>
      </c>
      <c r="Q30" s="97">
        <v>8</v>
      </c>
      <c r="R30" s="97">
        <v>3</v>
      </c>
      <c r="S30" s="97">
        <v>1</v>
      </c>
      <c r="T30" s="97">
        <v>27</v>
      </c>
      <c r="U30" s="99">
        <f t="shared" si="0"/>
        <v>0.56168088204701472</v>
      </c>
      <c r="V30" s="97"/>
      <c r="W30" s="97"/>
      <c r="X30" s="97">
        <v>10</v>
      </c>
      <c r="Y30" s="97">
        <v>1</v>
      </c>
      <c r="Z30" s="97">
        <v>1</v>
      </c>
      <c r="AA30" s="97">
        <v>2</v>
      </c>
      <c r="AB30" s="99">
        <f t="shared" si="1"/>
        <v>4.1605991262741837E-2</v>
      </c>
      <c r="AC30" s="101">
        <v>2</v>
      </c>
      <c r="AD30" s="101">
        <v>0</v>
      </c>
      <c r="AE30" s="101">
        <v>32</v>
      </c>
    </row>
    <row r="31" spans="1:31" ht="14.4" thickBot="1" x14ac:dyDescent="0.3">
      <c r="A31" s="89" t="s">
        <v>17</v>
      </c>
      <c r="B31" s="97">
        <v>5962</v>
      </c>
      <c r="C31" s="97">
        <v>3612</v>
      </c>
      <c r="D31" s="97">
        <v>8185</v>
      </c>
      <c r="E31" s="97">
        <v>6969</v>
      </c>
      <c r="F31" s="97">
        <v>4686</v>
      </c>
      <c r="G31" s="98">
        <v>34448</v>
      </c>
      <c r="H31" s="97">
        <v>5</v>
      </c>
      <c r="I31" s="97">
        <v>8</v>
      </c>
      <c r="J31" s="97">
        <v>8</v>
      </c>
      <c r="K31" s="97">
        <v>2</v>
      </c>
      <c r="L31" s="97">
        <v>1</v>
      </c>
      <c r="M31" s="97">
        <v>15</v>
      </c>
      <c r="N31" s="99">
        <f t="shared" si="4"/>
        <v>4.354389224338133E-2</v>
      </c>
      <c r="O31" s="97">
        <v>10</v>
      </c>
      <c r="P31" s="97">
        <v>10</v>
      </c>
      <c r="Q31" s="97">
        <v>22</v>
      </c>
      <c r="R31" s="97">
        <v>8</v>
      </c>
      <c r="S31" s="97">
        <v>6</v>
      </c>
      <c r="T31" s="97">
        <v>25</v>
      </c>
      <c r="U31" s="99">
        <f t="shared" si="0"/>
        <v>7.2573153738968887E-2</v>
      </c>
      <c r="V31" s="97">
        <v>16</v>
      </c>
      <c r="W31" s="97">
        <v>8</v>
      </c>
      <c r="X31" s="97">
        <v>39</v>
      </c>
      <c r="Y31" s="97">
        <v>12</v>
      </c>
      <c r="Z31" s="97">
        <v>1</v>
      </c>
      <c r="AA31" s="97">
        <v>8</v>
      </c>
      <c r="AB31" s="99">
        <f t="shared" si="1"/>
        <v>2.3223409196470042E-2</v>
      </c>
      <c r="AC31" s="101">
        <v>7</v>
      </c>
      <c r="AD31" s="101">
        <v>1</v>
      </c>
      <c r="AE31" s="101">
        <v>204</v>
      </c>
    </row>
    <row r="32" spans="1:31" ht="14.4" thickBot="1" x14ac:dyDescent="0.3">
      <c r="A32" s="89" t="s">
        <v>18</v>
      </c>
      <c r="B32" s="97">
        <v>2232</v>
      </c>
      <c r="C32" s="97">
        <v>1239</v>
      </c>
      <c r="D32" s="97">
        <v>1878</v>
      </c>
      <c r="E32" s="97">
        <v>1798</v>
      </c>
      <c r="F32" s="97">
        <v>3064</v>
      </c>
      <c r="G32" s="98">
        <v>10520</v>
      </c>
      <c r="H32" s="97">
        <v>7</v>
      </c>
      <c r="I32" s="97">
        <v>1</v>
      </c>
      <c r="J32" s="97">
        <v>2</v>
      </c>
      <c r="K32" s="97">
        <v>12</v>
      </c>
      <c r="L32" s="97">
        <v>1</v>
      </c>
      <c r="M32" s="97">
        <v>10</v>
      </c>
      <c r="N32" s="99">
        <f t="shared" si="4"/>
        <v>9.5057034220532313E-2</v>
      </c>
      <c r="O32" s="97">
        <v>5</v>
      </c>
      <c r="P32" s="97">
        <v>5</v>
      </c>
      <c r="Q32" s="97">
        <v>8</v>
      </c>
      <c r="R32" s="97">
        <v>7</v>
      </c>
      <c r="S32" s="97">
        <v>4</v>
      </c>
      <c r="T32" s="97">
        <v>22</v>
      </c>
      <c r="U32" s="99">
        <f t="shared" si="0"/>
        <v>0.20912547528517111</v>
      </c>
      <c r="V32" s="97">
        <v>2</v>
      </c>
      <c r="W32" s="97">
        <v>2</v>
      </c>
      <c r="X32" s="97">
        <v>15</v>
      </c>
      <c r="Y32" s="97">
        <v>1</v>
      </c>
      <c r="Z32" s="97">
        <v>2</v>
      </c>
      <c r="AA32" s="97">
        <v>3</v>
      </c>
      <c r="AB32" s="99">
        <f t="shared" si="1"/>
        <v>2.8517110266159697E-2</v>
      </c>
      <c r="AC32" s="101">
        <v>7</v>
      </c>
      <c r="AD32" s="101">
        <v>0</v>
      </c>
      <c r="AE32" s="101">
        <v>84</v>
      </c>
    </row>
    <row r="33" spans="1:31" ht="14.4" thickBot="1" x14ac:dyDescent="0.3">
      <c r="A33" s="89" t="s">
        <v>19</v>
      </c>
      <c r="B33" s="97">
        <v>9246</v>
      </c>
      <c r="C33" s="97">
        <v>5517</v>
      </c>
      <c r="D33" s="97">
        <v>11932</v>
      </c>
      <c r="E33" s="97">
        <v>10167</v>
      </c>
      <c r="F33" s="97">
        <v>5609</v>
      </c>
      <c r="G33" s="98">
        <v>48195</v>
      </c>
      <c r="H33" s="97">
        <v>32</v>
      </c>
      <c r="I33" s="97">
        <v>18</v>
      </c>
      <c r="J33" s="97">
        <v>54</v>
      </c>
      <c r="K33" s="97">
        <v>33</v>
      </c>
      <c r="L33" s="97">
        <v>3</v>
      </c>
      <c r="M33" s="97">
        <v>107</v>
      </c>
      <c r="N33" s="99">
        <f t="shared" si="4"/>
        <v>0.22201473181865339</v>
      </c>
      <c r="O33" s="97">
        <v>48</v>
      </c>
      <c r="P33" s="97">
        <v>35</v>
      </c>
      <c r="Q33" s="97">
        <v>112</v>
      </c>
      <c r="R33" s="97">
        <v>34</v>
      </c>
      <c r="S33" s="97">
        <v>30</v>
      </c>
      <c r="T33" s="97">
        <v>204</v>
      </c>
      <c r="U33" s="99">
        <f t="shared" si="0"/>
        <v>0.42328042328042326</v>
      </c>
      <c r="V33" s="97">
        <v>40</v>
      </c>
      <c r="W33" s="97">
        <v>40</v>
      </c>
      <c r="X33" s="97">
        <v>86</v>
      </c>
      <c r="Y33" s="97">
        <v>43</v>
      </c>
      <c r="Z33" s="97">
        <v>2</v>
      </c>
      <c r="AA33" s="97">
        <v>33</v>
      </c>
      <c r="AB33" s="99">
        <f t="shared" si="1"/>
        <v>6.8471833177715533E-2</v>
      </c>
      <c r="AC33" s="101">
        <v>73</v>
      </c>
      <c r="AD33" s="101">
        <v>5</v>
      </c>
      <c r="AE33" s="101">
        <v>540</v>
      </c>
    </row>
    <row r="34" spans="1:31" ht="14.4" thickBot="1" x14ac:dyDescent="0.3">
      <c r="A34" s="89" t="s">
        <v>20</v>
      </c>
      <c r="B34" s="97">
        <v>5442</v>
      </c>
      <c r="C34" s="97">
        <v>3534</v>
      </c>
      <c r="D34" s="97">
        <v>8238</v>
      </c>
      <c r="E34" s="97">
        <v>7812</v>
      </c>
      <c r="F34" s="97">
        <v>3711</v>
      </c>
      <c r="G34" s="98">
        <v>33677</v>
      </c>
      <c r="H34" s="97">
        <v>21</v>
      </c>
      <c r="I34" s="97">
        <v>6</v>
      </c>
      <c r="J34" s="97">
        <v>22</v>
      </c>
      <c r="K34" s="97">
        <v>12</v>
      </c>
      <c r="L34" s="97">
        <v>2</v>
      </c>
      <c r="M34" s="97">
        <v>59</v>
      </c>
      <c r="N34" s="99">
        <f t="shared" si="4"/>
        <v>0.17519375241262583</v>
      </c>
      <c r="O34" s="97">
        <v>27</v>
      </c>
      <c r="P34" s="97">
        <v>8</v>
      </c>
      <c r="Q34" s="97">
        <v>37</v>
      </c>
      <c r="R34" s="97">
        <v>27</v>
      </c>
      <c r="S34" s="97">
        <v>5</v>
      </c>
      <c r="T34" s="97">
        <v>74</v>
      </c>
      <c r="U34" s="99">
        <f t="shared" si="0"/>
        <v>0.21973453692431036</v>
      </c>
      <c r="V34" s="97">
        <v>7</v>
      </c>
      <c r="W34" s="97">
        <v>14</v>
      </c>
      <c r="X34" s="97">
        <v>51</v>
      </c>
      <c r="Y34" s="97">
        <v>30</v>
      </c>
      <c r="Z34" s="97">
        <v>2</v>
      </c>
      <c r="AA34" s="97">
        <v>18</v>
      </c>
      <c r="AB34" s="99">
        <f t="shared" si="1"/>
        <v>5.3448941414021442E-2</v>
      </c>
      <c r="AC34" s="101">
        <v>30</v>
      </c>
      <c r="AD34" s="101">
        <v>5</v>
      </c>
      <c r="AE34" s="101">
        <v>389</v>
      </c>
    </row>
    <row r="35" spans="1:31" ht="14.4" thickBot="1" x14ac:dyDescent="0.3">
      <c r="A35" s="89" t="s">
        <v>25</v>
      </c>
      <c r="B35" s="97"/>
      <c r="C35" s="97"/>
      <c r="D35" s="97"/>
      <c r="E35" s="97"/>
      <c r="F35" s="97"/>
      <c r="G35" s="98">
        <v>208</v>
      </c>
      <c r="H35" s="97"/>
      <c r="I35" s="97"/>
      <c r="J35" s="97"/>
      <c r="K35" s="97"/>
      <c r="L35" s="97"/>
      <c r="M35" s="97">
        <v>0</v>
      </c>
      <c r="N35" s="99">
        <f t="shared" si="4"/>
        <v>0</v>
      </c>
      <c r="O35" s="97"/>
      <c r="P35" s="97"/>
      <c r="Q35" s="97"/>
      <c r="R35" s="97"/>
      <c r="S35" s="97"/>
      <c r="T35" s="97">
        <v>6</v>
      </c>
      <c r="U35" s="99">
        <f t="shared" si="0"/>
        <v>2.8846153846153846</v>
      </c>
      <c r="V35" s="97"/>
      <c r="W35" s="97"/>
      <c r="X35" s="97"/>
      <c r="Y35" s="97"/>
      <c r="Z35" s="97"/>
      <c r="AA35" s="97">
        <v>0</v>
      </c>
      <c r="AB35" s="99">
        <f t="shared" si="1"/>
        <v>0</v>
      </c>
      <c r="AC35" s="101">
        <v>0</v>
      </c>
      <c r="AD35" s="101">
        <v>0</v>
      </c>
      <c r="AE35" s="101">
        <v>8</v>
      </c>
    </row>
    <row r="36" spans="1:31" ht="14.4" thickBot="1" x14ac:dyDescent="0.3">
      <c r="A36" s="89" t="s">
        <v>26</v>
      </c>
      <c r="B36" s="97">
        <v>48921</v>
      </c>
      <c r="C36" s="97">
        <v>32891</v>
      </c>
      <c r="D36" s="97">
        <v>67606</v>
      </c>
      <c r="E36" s="97">
        <v>67129</v>
      </c>
      <c r="F36" s="97">
        <v>37040</v>
      </c>
      <c r="G36" s="98">
        <v>322674</v>
      </c>
      <c r="H36" s="97">
        <v>86</v>
      </c>
      <c r="I36" s="97">
        <v>53</v>
      </c>
      <c r="J36" s="97">
        <v>136</v>
      </c>
      <c r="K36" s="97">
        <v>79</v>
      </c>
      <c r="L36" s="97">
        <v>25</v>
      </c>
      <c r="M36" s="97">
        <v>470</v>
      </c>
      <c r="N36" s="99">
        <f t="shared" si="4"/>
        <v>0.1456578466191884</v>
      </c>
      <c r="O36" s="97">
        <v>160</v>
      </c>
      <c r="P36" s="97">
        <v>61</v>
      </c>
      <c r="Q36" s="97">
        <v>270</v>
      </c>
      <c r="R36" s="97">
        <v>149</v>
      </c>
      <c r="S36" s="97">
        <v>52</v>
      </c>
      <c r="T36" s="97">
        <v>664</v>
      </c>
      <c r="U36" s="99">
        <f t="shared" si="0"/>
        <v>0.20578044713859808</v>
      </c>
      <c r="V36" s="97">
        <v>133</v>
      </c>
      <c r="W36" s="97">
        <v>68</v>
      </c>
      <c r="X36" s="97">
        <v>354</v>
      </c>
      <c r="Y36" s="97">
        <v>193</v>
      </c>
      <c r="Z36" s="97">
        <v>62</v>
      </c>
      <c r="AA36" s="97">
        <v>219</v>
      </c>
      <c r="AB36" s="99">
        <f t="shared" si="1"/>
        <v>6.7870358318302682E-2</v>
      </c>
      <c r="AC36" s="101">
        <v>153</v>
      </c>
      <c r="AD36" s="101">
        <v>42</v>
      </c>
      <c r="AE36" s="97">
        <v>3060</v>
      </c>
    </row>
    <row r="37" spans="1:31" s="132" customFormat="1" ht="14.4" thickBot="1" x14ac:dyDescent="0.3">
      <c r="A37" s="128" t="s">
        <v>21</v>
      </c>
      <c r="B37" s="111">
        <f t="shared" ref="B37:L37" si="6">SUM(B28:B36)</f>
        <v>76797</v>
      </c>
      <c r="C37" s="111">
        <f t="shared" si="6"/>
        <v>49520</v>
      </c>
      <c r="D37" s="111">
        <f t="shared" si="6"/>
        <v>103887</v>
      </c>
      <c r="E37" s="111">
        <f t="shared" si="6"/>
        <v>99388</v>
      </c>
      <c r="F37" s="111">
        <f t="shared" si="6"/>
        <v>59235</v>
      </c>
      <c r="G37" s="102">
        <f>SUM(G28:G36)</f>
        <v>477127</v>
      </c>
      <c r="H37" s="111">
        <f t="shared" si="6"/>
        <v>161</v>
      </c>
      <c r="I37" s="111">
        <f t="shared" si="6"/>
        <v>88</v>
      </c>
      <c r="J37" s="111">
        <f t="shared" si="6"/>
        <v>247</v>
      </c>
      <c r="K37" s="111">
        <f t="shared" si="6"/>
        <v>145</v>
      </c>
      <c r="L37" s="111">
        <f t="shared" si="6"/>
        <v>34</v>
      </c>
      <c r="M37" s="103">
        <f>SUM(M28:M36)</f>
        <v>694</v>
      </c>
      <c r="N37" s="104">
        <f t="shared" si="4"/>
        <v>0.14545393574457116</v>
      </c>
      <c r="O37" s="111">
        <f t="shared" ref="O37:T37" si="7">SUM(O28:O36)</f>
        <v>273</v>
      </c>
      <c r="P37" s="111">
        <f t="shared" si="7"/>
        <v>123</v>
      </c>
      <c r="Q37" s="111">
        <f t="shared" si="7"/>
        <v>480</v>
      </c>
      <c r="R37" s="111">
        <f t="shared" si="7"/>
        <v>231</v>
      </c>
      <c r="S37" s="111">
        <f t="shared" si="7"/>
        <v>99</v>
      </c>
      <c r="T37" s="103">
        <f t="shared" si="7"/>
        <v>1068</v>
      </c>
      <c r="U37" s="104">
        <f t="shared" si="0"/>
        <v>0.223839774315853</v>
      </c>
      <c r="V37" s="111">
        <v>209</v>
      </c>
      <c r="W37" s="111">
        <v>136</v>
      </c>
      <c r="X37" s="111">
        <v>579</v>
      </c>
      <c r="Y37" s="111">
        <v>286</v>
      </c>
      <c r="Z37" s="111">
        <v>72</v>
      </c>
      <c r="AA37" s="103">
        <f>SUM(AA28:AA36)</f>
        <v>298</v>
      </c>
      <c r="AB37" s="104">
        <f t="shared" si="1"/>
        <v>6.2457165492625651E-2</v>
      </c>
      <c r="AC37" s="107">
        <f>SUM(AC28:AC36)</f>
        <v>281</v>
      </c>
      <c r="AD37" s="107">
        <f>SUM(AD28:AD36)</f>
        <v>54</v>
      </c>
      <c r="AE37" s="114">
        <f>SUM(AE28:AE36)</f>
        <v>4500</v>
      </c>
    </row>
    <row r="38" spans="1:31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1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1" ht="14.4" thickBot="1" x14ac:dyDescent="0.3">
      <c r="A40" s="89" t="s">
        <v>40</v>
      </c>
      <c r="B40" s="97"/>
      <c r="C40" s="97"/>
      <c r="D40" s="97"/>
      <c r="E40" s="97"/>
      <c r="F40" s="97"/>
      <c r="G40" s="98">
        <v>377</v>
      </c>
      <c r="H40" s="97"/>
      <c r="I40" s="97"/>
      <c r="J40" s="97"/>
      <c r="K40" s="97"/>
      <c r="L40" s="120"/>
      <c r="M40" s="97">
        <v>1</v>
      </c>
      <c r="N40" s="99">
        <f t="shared" si="4"/>
        <v>0.26525198938992045</v>
      </c>
      <c r="O40" s="97"/>
      <c r="P40" s="97"/>
      <c r="Q40" s="97"/>
      <c r="R40" s="97"/>
      <c r="S40" s="97"/>
      <c r="T40" s="97">
        <v>8</v>
      </c>
      <c r="U40" s="99">
        <f t="shared" si="0"/>
        <v>2.1220159151193636</v>
      </c>
      <c r="V40" s="133"/>
      <c r="W40" s="133"/>
      <c r="X40" s="133"/>
      <c r="Y40" s="133"/>
      <c r="Z40" s="133"/>
      <c r="AA40" s="101">
        <v>0</v>
      </c>
      <c r="AB40" s="99">
        <f t="shared" si="1"/>
        <v>0</v>
      </c>
      <c r="AC40" s="101">
        <v>1</v>
      </c>
      <c r="AD40" s="101">
        <v>0</v>
      </c>
      <c r="AE40" s="101">
        <v>4</v>
      </c>
    </row>
    <row r="41" spans="1:31" ht="14.4" thickBot="1" x14ac:dyDescent="0.3">
      <c r="A41" s="89" t="s">
        <v>27</v>
      </c>
      <c r="B41" s="97">
        <v>49382</v>
      </c>
      <c r="C41" s="97">
        <v>38536</v>
      </c>
      <c r="D41" s="109">
        <v>55854</v>
      </c>
      <c r="E41" s="97">
        <v>55288</v>
      </c>
      <c r="F41" s="97">
        <v>47258</v>
      </c>
      <c r="G41" s="98">
        <v>267870</v>
      </c>
      <c r="H41" s="97">
        <v>25</v>
      </c>
      <c r="I41" s="97">
        <v>18</v>
      </c>
      <c r="J41" s="97">
        <v>14</v>
      </c>
      <c r="K41" s="97">
        <v>24</v>
      </c>
      <c r="L41" s="97">
        <v>6</v>
      </c>
      <c r="M41" s="97">
        <v>82</v>
      </c>
      <c r="N41" s="99">
        <f t="shared" si="4"/>
        <v>3.0611863963863069E-2</v>
      </c>
      <c r="O41" s="97">
        <v>27</v>
      </c>
      <c r="P41" s="97">
        <v>19</v>
      </c>
      <c r="Q41" s="97">
        <v>19</v>
      </c>
      <c r="R41" s="97">
        <v>18</v>
      </c>
      <c r="S41" s="97">
        <v>8</v>
      </c>
      <c r="T41" s="97">
        <v>71</v>
      </c>
      <c r="U41" s="99">
        <f t="shared" si="0"/>
        <v>2.6505394407735094E-2</v>
      </c>
      <c r="V41" s="109">
        <v>147</v>
      </c>
      <c r="W41" s="109">
        <v>32</v>
      </c>
      <c r="X41" s="133">
        <v>92</v>
      </c>
      <c r="Y41" s="133">
        <v>70</v>
      </c>
      <c r="Z41" s="133">
        <v>49</v>
      </c>
      <c r="AA41" s="97">
        <v>52</v>
      </c>
      <c r="AB41" s="99">
        <f t="shared" si="1"/>
        <v>1.9412401538059506E-2</v>
      </c>
      <c r="AC41" s="101">
        <v>9</v>
      </c>
      <c r="AD41" s="101">
        <v>1</v>
      </c>
      <c r="AE41" s="101">
        <v>380</v>
      </c>
    </row>
    <row r="42" spans="1:31" s="132" customFormat="1" ht="14.4" thickBot="1" x14ac:dyDescent="0.3">
      <c r="A42" s="128" t="s">
        <v>21</v>
      </c>
      <c r="B42" s="111">
        <f>SUM(B40:B41)</f>
        <v>49382</v>
      </c>
      <c r="C42" s="111">
        <f t="shared" ref="C42:F42" si="8">SUM(C40:C41)</f>
        <v>38536</v>
      </c>
      <c r="D42" s="111">
        <f t="shared" si="8"/>
        <v>55854</v>
      </c>
      <c r="E42" s="111">
        <f t="shared" si="8"/>
        <v>55288</v>
      </c>
      <c r="F42" s="111">
        <f t="shared" si="8"/>
        <v>47258</v>
      </c>
      <c r="G42" s="102">
        <f>SUM(G40:G41)</f>
        <v>268247</v>
      </c>
      <c r="H42" s="111">
        <f>SUM(H40:H41)</f>
        <v>25</v>
      </c>
      <c r="I42" s="111">
        <f t="shared" ref="I42" si="9">SUM(I40:I41)</f>
        <v>18</v>
      </c>
      <c r="J42" s="111">
        <f t="shared" ref="J42" si="10">SUM(J40:J41)</f>
        <v>14</v>
      </c>
      <c r="K42" s="111">
        <f t="shared" ref="K42" si="11">SUM(K40:K41)</f>
        <v>24</v>
      </c>
      <c r="L42" s="111">
        <f t="shared" ref="L42" si="12">SUM(L40:L41)</f>
        <v>6</v>
      </c>
      <c r="M42" s="103">
        <f>SUM(M40:M41)</f>
        <v>83</v>
      </c>
      <c r="N42" s="104">
        <f>M42*100/G42</f>
        <v>3.0941632152456506E-2</v>
      </c>
      <c r="O42" s="111">
        <f>SUM(O40:O41)</f>
        <v>27</v>
      </c>
      <c r="P42" s="111">
        <f t="shared" ref="P42" si="13">SUM(P40:P41)</f>
        <v>19</v>
      </c>
      <c r="Q42" s="111">
        <f t="shared" ref="Q42" si="14">SUM(Q40:Q41)</f>
        <v>19</v>
      </c>
      <c r="R42" s="111">
        <f t="shared" ref="R42" si="15">SUM(R40:R41)</f>
        <v>18</v>
      </c>
      <c r="S42" s="111">
        <f t="shared" ref="S42" si="16">SUM(S40:S41)</f>
        <v>8</v>
      </c>
      <c r="T42" s="103">
        <f>SUM(T40:T41)</f>
        <v>79</v>
      </c>
      <c r="U42" s="104">
        <f t="shared" si="0"/>
        <v>2.9450469157157395E-2</v>
      </c>
      <c r="V42" s="111">
        <f>SUM(V40:V41)</f>
        <v>147</v>
      </c>
      <c r="W42" s="111">
        <f t="shared" ref="W42" si="17">SUM(W40:W41)</f>
        <v>32</v>
      </c>
      <c r="X42" s="111">
        <f t="shared" ref="X42" si="18">SUM(X40:X41)</f>
        <v>92</v>
      </c>
      <c r="Y42" s="111">
        <f t="shared" ref="Y42" si="19">SUM(Y40:Y41)</f>
        <v>70</v>
      </c>
      <c r="Z42" s="111">
        <f t="shared" ref="Z42" si="20">SUM(Z40:Z41)</f>
        <v>49</v>
      </c>
      <c r="AA42" s="106">
        <f>SUM(AA40:AA41)</f>
        <v>52</v>
      </c>
      <c r="AB42" s="104">
        <f t="shared" si="1"/>
        <v>1.9385118938888411E-2</v>
      </c>
      <c r="AC42" s="107">
        <f>SUM(AC40:AC41)</f>
        <v>10</v>
      </c>
      <c r="AD42" s="107">
        <f>SUM(AD40:AD41)</f>
        <v>1</v>
      </c>
      <c r="AE42" s="107">
        <f>SUM(AE40:AE41)</f>
        <v>384</v>
      </c>
    </row>
    <row r="43" spans="1:31" ht="41.4" thickBot="1" x14ac:dyDescent="0.3">
      <c r="A43" s="121" t="s">
        <v>48</v>
      </c>
      <c r="B43" s="117" t="s">
        <v>37</v>
      </c>
      <c r="C43" s="118"/>
      <c r="D43" s="117" t="s">
        <v>38</v>
      </c>
      <c r="E43" s="134"/>
      <c r="F43" s="134"/>
      <c r="G43" s="122">
        <f>G11+G25+G37+G42</f>
        <v>764422</v>
      </c>
      <c r="H43" s="122">
        <f>H11+H25+H37+H42</f>
        <v>201</v>
      </c>
      <c r="I43" s="122">
        <f t="shared" ref="I43:AC43" si="21">I11+I25+I37+I42</f>
        <v>109</v>
      </c>
      <c r="J43" s="122">
        <f t="shared" si="21"/>
        <v>281</v>
      </c>
      <c r="K43" s="122">
        <f t="shared" si="21"/>
        <v>184</v>
      </c>
      <c r="L43" s="122">
        <f t="shared" si="21"/>
        <v>41</v>
      </c>
      <c r="M43" s="122">
        <f>M11+M25+M37+M42</f>
        <v>827</v>
      </c>
      <c r="N43" s="123">
        <f t="shared" si="4"/>
        <v>0.1081863159354388</v>
      </c>
      <c r="O43" s="122">
        <f t="shared" si="21"/>
        <v>339</v>
      </c>
      <c r="P43" s="122">
        <f t="shared" si="21"/>
        <v>149</v>
      </c>
      <c r="Q43" s="122">
        <f t="shared" si="21"/>
        <v>571</v>
      </c>
      <c r="R43" s="122">
        <f t="shared" si="21"/>
        <v>280</v>
      </c>
      <c r="S43" s="122">
        <f t="shared" si="21"/>
        <v>117</v>
      </c>
      <c r="T43" s="122">
        <f t="shared" si="21"/>
        <v>1244</v>
      </c>
      <c r="U43" s="123">
        <f t="shared" si="0"/>
        <v>0.16273733618341701</v>
      </c>
      <c r="V43" s="122">
        <f>V11+V25+V37+V42</f>
        <v>379</v>
      </c>
      <c r="W43" s="122">
        <f t="shared" si="21"/>
        <v>177</v>
      </c>
      <c r="X43" s="122">
        <f t="shared" si="21"/>
        <v>813</v>
      </c>
      <c r="Y43" s="122">
        <f t="shared" si="21"/>
        <v>382</v>
      </c>
      <c r="Z43" s="122">
        <f t="shared" si="21"/>
        <v>128</v>
      </c>
      <c r="AA43" s="122">
        <f t="shared" si="21"/>
        <v>386</v>
      </c>
      <c r="AB43" s="123">
        <f t="shared" si="1"/>
        <v>5.0495668622828754E-2</v>
      </c>
      <c r="AC43" s="122">
        <f t="shared" si="21"/>
        <v>314</v>
      </c>
      <c r="AD43" s="122">
        <f>AD11+AD25+AD37+AD42</f>
        <v>62</v>
      </c>
      <c r="AE43" s="122">
        <f>AE11+AE25+AE37+AE42</f>
        <v>5379</v>
      </c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AT8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3" sqref="B43:G43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28" width="10.77734375" customWidth="1"/>
    <col min="29" max="31" width="10.77734375" hidden="1" customWidth="1" outlineLevel="1"/>
    <col min="32" max="33" width="11.5546875" hidden="1" customWidth="1" outlineLevel="1"/>
    <col min="34" max="34" width="10.88671875" collapsed="1"/>
    <col min="35" max="39" width="11.5546875" hidden="1" customWidth="1" outlineLevel="1"/>
    <col min="40" max="40" width="10.88671875" collapsed="1"/>
    <col min="41" max="45" width="11.5546875" hidden="1" customWidth="1" outlineLevel="1"/>
    <col min="46" max="46" width="10.88671875" collapsed="1"/>
  </cols>
  <sheetData>
    <row r="1" spans="1:46" s="1" customFormat="1" ht="24.6" x14ac:dyDescent="0.4">
      <c r="A1" s="479" t="s">
        <v>77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46" s="1" customFormat="1" ht="18" customHeight="1" thickBot="1" x14ac:dyDescent="0.35"/>
    <row r="3" spans="1:46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118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494" t="s">
        <v>131</v>
      </c>
      <c r="AD3" s="494"/>
      <c r="AE3" s="494"/>
      <c r="AF3" s="494"/>
      <c r="AG3" s="494"/>
      <c r="AH3" s="495"/>
      <c r="AI3" s="496" t="s">
        <v>129</v>
      </c>
      <c r="AJ3" s="494"/>
      <c r="AK3" s="494"/>
      <c r="AL3" s="494"/>
      <c r="AM3" s="494"/>
      <c r="AN3" s="495"/>
      <c r="AO3" s="496" t="s">
        <v>130</v>
      </c>
      <c r="AP3" s="494"/>
      <c r="AQ3" s="494"/>
      <c r="AR3" s="494"/>
      <c r="AS3" s="494"/>
      <c r="AT3" s="495"/>
    </row>
    <row r="4" spans="1:46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145" t="s">
        <v>29</v>
      </c>
      <c r="AD4" s="144" t="s">
        <v>30</v>
      </c>
      <c r="AE4" s="144" t="s">
        <v>36</v>
      </c>
      <c r="AF4" s="144" t="s">
        <v>33</v>
      </c>
      <c r="AG4" s="144" t="s">
        <v>32</v>
      </c>
      <c r="AH4" s="151" t="s">
        <v>21</v>
      </c>
      <c r="AI4" s="144" t="s">
        <v>29</v>
      </c>
      <c r="AJ4" s="144" t="s">
        <v>30</v>
      </c>
      <c r="AK4" s="144" t="s">
        <v>36</v>
      </c>
      <c r="AL4" s="144" t="s">
        <v>33</v>
      </c>
      <c r="AM4" s="144" t="s">
        <v>32</v>
      </c>
      <c r="AN4" s="151" t="s">
        <v>21</v>
      </c>
      <c r="AO4" s="144" t="s">
        <v>29</v>
      </c>
      <c r="AP4" s="144" t="s">
        <v>30</v>
      </c>
      <c r="AQ4" s="144" t="s">
        <v>36</v>
      </c>
      <c r="AR4" s="144" t="s">
        <v>33</v>
      </c>
      <c r="AS4" s="144" t="s">
        <v>32</v>
      </c>
      <c r="AT4" s="151" t="s">
        <v>21</v>
      </c>
    </row>
    <row r="5" spans="1:4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</row>
    <row r="6" spans="1:46" ht="14.4" thickBot="1" x14ac:dyDescent="0.3">
      <c r="A6" s="89" t="s">
        <v>1</v>
      </c>
      <c r="B6" s="97">
        <v>134</v>
      </c>
      <c r="C6" s="97">
        <v>37</v>
      </c>
      <c r="D6" s="97">
        <v>112</v>
      </c>
      <c r="E6" s="137">
        <v>62</v>
      </c>
      <c r="F6" s="97">
        <v>46</v>
      </c>
      <c r="G6" s="98">
        <f>SUM(B6:F6)</f>
        <v>391</v>
      </c>
      <c r="H6" s="97">
        <v>0</v>
      </c>
      <c r="I6" s="97">
        <v>0</v>
      </c>
      <c r="J6" s="97">
        <v>0</v>
      </c>
      <c r="K6" s="97">
        <v>1</v>
      </c>
      <c r="L6" s="97">
        <v>0</v>
      </c>
      <c r="M6" s="101">
        <f>SUM(H6:L6)</f>
        <v>1</v>
      </c>
      <c r="N6" s="99">
        <f>M6*100/G6</f>
        <v>0.25575447570332482</v>
      </c>
      <c r="O6" s="97">
        <v>1</v>
      </c>
      <c r="P6" s="97">
        <v>1</v>
      </c>
      <c r="Q6" s="97">
        <v>0</v>
      </c>
      <c r="R6" s="97">
        <v>1</v>
      </c>
      <c r="S6" s="97">
        <v>0</v>
      </c>
      <c r="T6" s="101">
        <f>SUM(O6:S6)</f>
        <v>3</v>
      </c>
      <c r="U6" s="99">
        <f>T6*100/G6</f>
        <v>0.76726342710997442</v>
      </c>
      <c r="V6" s="97">
        <v>0</v>
      </c>
      <c r="W6" s="97">
        <v>0</v>
      </c>
      <c r="X6" s="97">
        <v>0</v>
      </c>
      <c r="Y6" s="97">
        <v>0</v>
      </c>
      <c r="Z6" s="97">
        <v>0</v>
      </c>
      <c r="AA6" s="97">
        <f>SUM(V6:Z6)</f>
        <v>0</v>
      </c>
      <c r="AB6" s="99">
        <f>AA6*100/G6</f>
        <v>0</v>
      </c>
      <c r="AC6" s="97">
        <v>0</v>
      </c>
      <c r="AD6" s="97">
        <v>0</v>
      </c>
      <c r="AE6" s="97">
        <v>0</v>
      </c>
      <c r="AF6" s="97">
        <v>0</v>
      </c>
      <c r="AG6" s="97">
        <v>0</v>
      </c>
      <c r="AH6" s="97">
        <f>SUM(AC6:AG6)</f>
        <v>0</v>
      </c>
      <c r="AI6" s="101">
        <v>0</v>
      </c>
      <c r="AJ6" s="101">
        <v>0</v>
      </c>
      <c r="AK6" s="101">
        <v>0</v>
      </c>
      <c r="AL6" s="101">
        <v>0</v>
      </c>
      <c r="AM6" s="101">
        <v>1</v>
      </c>
      <c r="AN6" s="97">
        <f>SUM(AI6:AM6)</f>
        <v>1</v>
      </c>
      <c r="AO6" s="101">
        <v>1</v>
      </c>
      <c r="AP6" s="101">
        <v>2</v>
      </c>
      <c r="AQ6" s="101">
        <v>9</v>
      </c>
      <c r="AR6" s="101">
        <v>1</v>
      </c>
      <c r="AS6" s="101">
        <v>2</v>
      </c>
      <c r="AT6" s="97">
        <f>SUM(AO6:AS6)</f>
        <v>15</v>
      </c>
    </row>
    <row r="7" spans="1:46" ht="14.4" thickBot="1" x14ac:dyDescent="0.3">
      <c r="A7" s="90" t="s">
        <v>2</v>
      </c>
      <c r="B7" s="97">
        <v>999</v>
      </c>
      <c r="C7" s="97">
        <v>202</v>
      </c>
      <c r="D7" s="97">
        <v>864</v>
      </c>
      <c r="E7" s="137">
        <v>738</v>
      </c>
      <c r="F7" s="97">
        <v>352</v>
      </c>
      <c r="G7" s="98">
        <f>SUM(B7:F7)</f>
        <v>3155</v>
      </c>
      <c r="H7" s="97">
        <v>0</v>
      </c>
      <c r="I7" s="97">
        <v>0</v>
      </c>
      <c r="J7" s="97">
        <v>4</v>
      </c>
      <c r="K7" s="97">
        <v>1</v>
      </c>
      <c r="L7" s="97">
        <v>2</v>
      </c>
      <c r="M7" s="97">
        <f>SUM(H7:L7)</f>
        <v>7</v>
      </c>
      <c r="N7" s="99">
        <f>M7*100/G7</f>
        <v>0.22187004754358161</v>
      </c>
      <c r="O7" s="97">
        <v>2</v>
      </c>
      <c r="P7" s="97">
        <v>2</v>
      </c>
      <c r="Q7" s="97">
        <v>5</v>
      </c>
      <c r="R7" s="97">
        <v>4</v>
      </c>
      <c r="S7" s="97">
        <v>1</v>
      </c>
      <c r="T7" s="97">
        <f>SUM(O7:S7)</f>
        <v>14</v>
      </c>
      <c r="U7" s="99">
        <f>T7*100/G7</f>
        <v>0.44374009508716322</v>
      </c>
      <c r="V7" s="97">
        <v>3</v>
      </c>
      <c r="W7" s="97">
        <v>1</v>
      </c>
      <c r="X7" s="97">
        <v>7</v>
      </c>
      <c r="Y7" s="97">
        <v>4</v>
      </c>
      <c r="Z7" s="97">
        <v>0</v>
      </c>
      <c r="AA7" s="97">
        <f>SUM(V7:Z7)</f>
        <v>15</v>
      </c>
      <c r="AB7" s="99">
        <f>AA7*100/G7</f>
        <v>0.47543581616481773</v>
      </c>
      <c r="AC7" s="97">
        <v>0</v>
      </c>
      <c r="AD7" s="97">
        <v>1</v>
      </c>
      <c r="AE7" s="97">
        <v>0</v>
      </c>
      <c r="AF7" s="97">
        <v>1</v>
      </c>
      <c r="AG7" s="97">
        <v>2</v>
      </c>
      <c r="AH7" s="97">
        <f t="shared" ref="AH7:AH10" si="0">SUM(AC7:AG7)</f>
        <v>4</v>
      </c>
      <c r="AI7" s="101">
        <v>3</v>
      </c>
      <c r="AJ7" s="101">
        <v>0</v>
      </c>
      <c r="AK7" s="101">
        <v>1</v>
      </c>
      <c r="AL7" s="101">
        <v>1</v>
      </c>
      <c r="AM7" s="101">
        <v>0</v>
      </c>
      <c r="AN7" s="97">
        <f t="shared" ref="AN7:AN10" si="1">SUM(AI7:AM7)</f>
        <v>5</v>
      </c>
      <c r="AO7" s="101">
        <v>8</v>
      </c>
      <c r="AP7" s="101">
        <v>13</v>
      </c>
      <c r="AQ7" s="101">
        <v>28</v>
      </c>
      <c r="AR7" s="101">
        <v>9</v>
      </c>
      <c r="AS7" s="101">
        <v>14</v>
      </c>
      <c r="AT7" s="97">
        <f t="shared" ref="AT7:AT10" si="2">SUM(AO7:AS7)</f>
        <v>72</v>
      </c>
    </row>
    <row r="8" spans="1:46" ht="14.4" thickBot="1" x14ac:dyDescent="0.3">
      <c r="A8" s="90" t="s">
        <v>14</v>
      </c>
      <c r="B8" s="97">
        <v>96</v>
      </c>
      <c r="C8" s="97">
        <v>49</v>
      </c>
      <c r="D8" s="97">
        <v>123</v>
      </c>
      <c r="E8" s="137">
        <v>116</v>
      </c>
      <c r="F8" s="97">
        <v>48</v>
      </c>
      <c r="G8" s="98">
        <f>SUM(B8:F8)</f>
        <v>432</v>
      </c>
      <c r="H8" s="97">
        <v>0</v>
      </c>
      <c r="I8" s="97">
        <v>0</v>
      </c>
      <c r="J8" s="97">
        <v>0</v>
      </c>
      <c r="K8" s="97">
        <v>1</v>
      </c>
      <c r="L8" s="97">
        <v>0</v>
      </c>
      <c r="M8" s="101">
        <f>SUM(H8:L8)</f>
        <v>1</v>
      </c>
      <c r="N8" s="99">
        <f>M8*100/G8</f>
        <v>0.23148148148148148</v>
      </c>
      <c r="O8" s="97">
        <v>1</v>
      </c>
      <c r="P8" s="97">
        <v>0</v>
      </c>
      <c r="Q8" s="97">
        <v>0</v>
      </c>
      <c r="R8" s="97">
        <v>1</v>
      </c>
      <c r="S8" s="97">
        <v>0</v>
      </c>
      <c r="T8" s="101">
        <f>SUM(O8:S8)</f>
        <v>2</v>
      </c>
      <c r="U8" s="99">
        <f t="shared" ref="U8:U43" si="3">T8*100/G8</f>
        <v>0.46296296296296297</v>
      </c>
      <c r="V8" s="97">
        <v>0</v>
      </c>
      <c r="W8" s="97">
        <v>0</v>
      </c>
      <c r="X8" s="97">
        <v>0</v>
      </c>
      <c r="Y8" s="97">
        <v>0</v>
      </c>
      <c r="Z8" s="97">
        <v>0</v>
      </c>
      <c r="AA8" s="97">
        <f>SUM(V8:Z8)</f>
        <v>0</v>
      </c>
      <c r="AB8" s="99">
        <f t="shared" ref="AB8:AB43" si="4">AA8*100/G8</f>
        <v>0</v>
      </c>
      <c r="AC8" s="97">
        <v>0</v>
      </c>
      <c r="AD8" s="97">
        <v>0</v>
      </c>
      <c r="AE8" s="97">
        <v>0</v>
      </c>
      <c r="AF8" s="97">
        <v>0</v>
      </c>
      <c r="AG8" s="97">
        <v>0</v>
      </c>
      <c r="AH8" s="97">
        <f t="shared" si="0"/>
        <v>0</v>
      </c>
      <c r="AI8" s="101">
        <v>0</v>
      </c>
      <c r="AJ8" s="101">
        <v>0</v>
      </c>
      <c r="AK8" s="101">
        <v>0</v>
      </c>
      <c r="AL8" s="101">
        <v>0</v>
      </c>
      <c r="AM8" s="101">
        <v>0</v>
      </c>
      <c r="AN8" s="97">
        <f t="shared" si="1"/>
        <v>0</v>
      </c>
      <c r="AO8" s="101">
        <v>1</v>
      </c>
      <c r="AP8" s="101">
        <v>0</v>
      </c>
      <c r="AQ8" s="101">
        <v>13</v>
      </c>
      <c r="AR8" s="101">
        <v>2</v>
      </c>
      <c r="AS8" s="101">
        <v>0</v>
      </c>
      <c r="AT8" s="97">
        <f t="shared" si="2"/>
        <v>16</v>
      </c>
    </row>
    <row r="9" spans="1:46" ht="14.4" thickBot="1" x14ac:dyDescent="0.3">
      <c r="A9" s="90" t="s">
        <v>3</v>
      </c>
      <c r="B9" s="97">
        <v>146</v>
      </c>
      <c r="C9" s="97">
        <v>79</v>
      </c>
      <c r="D9" s="97">
        <v>173</v>
      </c>
      <c r="E9" s="137">
        <v>124</v>
      </c>
      <c r="F9" s="97">
        <v>49</v>
      </c>
      <c r="G9" s="98">
        <f>SUM(B9:F9)</f>
        <v>571</v>
      </c>
      <c r="H9" s="97">
        <v>1</v>
      </c>
      <c r="I9" s="97">
        <v>0</v>
      </c>
      <c r="J9" s="97">
        <v>1</v>
      </c>
      <c r="K9" s="97">
        <v>0</v>
      </c>
      <c r="L9" s="97">
        <v>0</v>
      </c>
      <c r="M9" s="97">
        <f>SUM(H9:L9)</f>
        <v>2</v>
      </c>
      <c r="N9" s="99">
        <f>M9*100/G9</f>
        <v>0.35026269702276708</v>
      </c>
      <c r="O9" s="97">
        <v>0</v>
      </c>
      <c r="P9" s="97">
        <v>0</v>
      </c>
      <c r="Q9" s="97">
        <v>2</v>
      </c>
      <c r="R9" s="97">
        <v>0</v>
      </c>
      <c r="S9" s="97">
        <v>0</v>
      </c>
      <c r="T9" s="97">
        <f>SUM(O9:S9)</f>
        <v>2</v>
      </c>
      <c r="U9" s="99">
        <f t="shared" si="3"/>
        <v>0.35026269702276708</v>
      </c>
      <c r="V9" s="97">
        <v>0</v>
      </c>
      <c r="W9" s="97">
        <v>0</v>
      </c>
      <c r="X9" s="97">
        <v>0</v>
      </c>
      <c r="Y9" s="97">
        <v>1</v>
      </c>
      <c r="Z9" s="97">
        <v>0</v>
      </c>
      <c r="AA9" s="97">
        <f>SUM(V9:Z9)</f>
        <v>1</v>
      </c>
      <c r="AB9" s="99">
        <f t="shared" si="4"/>
        <v>0.17513134851138354</v>
      </c>
      <c r="AC9" s="97">
        <v>1</v>
      </c>
      <c r="AD9" s="97">
        <v>0</v>
      </c>
      <c r="AE9" s="97">
        <v>0</v>
      </c>
      <c r="AF9" s="97">
        <v>0</v>
      </c>
      <c r="AG9" s="97">
        <v>0</v>
      </c>
      <c r="AH9" s="97">
        <f t="shared" si="0"/>
        <v>1</v>
      </c>
      <c r="AI9" s="101">
        <v>0</v>
      </c>
      <c r="AJ9" s="101">
        <v>0</v>
      </c>
      <c r="AK9" s="101">
        <v>0</v>
      </c>
      <c r="AL9" s="101">
        <v>0</v>
      </c>
      <c r="AM9" s="101">
        <v>0</v>
      </c>
      <c r="AN9" s="97">
        <f t="shared" si="1"/>
        <v>0</v>
      </c>
      <c r="AO9" s="101">
        <v>1</v>
      </c>
      <c r="AP9" s="101">
        <v>2</v>
      </c>
      <c r="AQ9" s="101">
        <v>16</v>
      </c>
      <c r="AR9" s="101">
        <v>3</v>
      </c>
      <c r="AS9" s="101">
        <v>2</v>
      </c>
      <c r="AT9" s="97">
        <f t="shared" si="2"/>
        <v>24</v>
      </c>
    </row>
    <row r="10" spans="1:46" ht="23.4" thickBot="1" x14ac:dyDescent="0.3">
      <c r="A10" s="139" t="s">
        <v>23</v>
      </c>
      <c r="B10" s="97">
        <v>1022</v>
      </c>
      <c r="C10" s="97">
        <v>200</v>
      </c>
      <c r="D10" s="97">
        <v>1005</v>
      </c>
      <c r="E10" s="137">
        <v>851</v>
      </c>
      <c r="F10" s="97">
        <v>388</v>
      </c>
      <c r="G10" s="98">
        <f>SUM(B10:F10)</f>
        <v>3466</v>
      </c>
      <c r="H10" s="97">
        <v>0</v>
      </c>
      <c r="I10" s="97">
        <v>0</v>
      </c>
      <c r="J10" s="97">
        <v>1</v>
      </c>
      <c r="K10" s="97">
        <v>0</v>
      </c>
      <c r="L10" s="97">
        <v>1</v>
      </c>
      <c r="M10" s="97">
        <f>SUM(H10:L10)</f>
        <v>2</v>
      </c>
      <c r="N10" s="99">
        <f>M10*100/G10</f>
        <v>5.770340450086555E-2</v>
      </c>
      <c r="O10" s="97">
        <v>7</v>
      </c>
      <c r="P10" s="97">
        <v>2</v>
      </c>
      <c r="Q10" s="97">
        <v>6</v>
      </c>
      <c r="R10" s="97">
        <v>10</v>
      </c>
      <c r="S10" s="97">
        <v>1</v>
      </c>
      <c r="T10" s="100">
        <f>SUM(O10:S10)</f>
        <v>26</v>
      </c>
      <c r="U10" s="99">
        <f t="shared" si="3"/>
        <v>0.75014425851125222</v>
      </c>
      <c r="V10" s="97">
        <v>1</v>
      </c>
      <c r="W10" s="97">
        <v>3</v>
      </c>
      <c r="X10" s="97">
        <v>0</v>
      </c>
      <c r="Y10" s="97">
        <v>0</v>
      </c>
      <c r="Z10" s="97">
        <v>1</v>
      </c>
      <c r="AA10" s="97">
        <f>SUM(V10:Z10)</f>
        <v>5</v>
      </c>
      <c r="AB10" s="99">
        <f t="shared" si="4"/>
        <v>0.14425851125216388</v>
      </c>
      <c r="AC10" s="97">
        <v>2</v>
      </c>
      <c r="AD10" s="97">
        <v>2</v>
      </c>
      <c r="AE10" s="97">
        <v>0</v>
      </c>
      <c r="AF10" s="97">
        <v>0</v>
      </c>
      <c r="AG10" s="97">
        <v>0</v>
      </c>
      <c r="AH10" s="97">
        <f t="shared" si="0"/>
        <v>4</v>
      </c>
      <c r="AI10" s="101">
        <v>0</v>
      </c>
      <c r="AJ10" s="101">
        <v>0</v>
      </c>
      <c r="AK10" s="101">
        <v>1</v>
      </c>
      <c r="AL10" s="101">
        <v>0</v>
      </c>
      <c r="AM10" s="101">
        <v>0</v>
      </c>
      <c r="AN10" s="97">
        <f t="shared" si="1"/>
        <v>1</v>
      </c>
      <c r="AO10" s="101">
        <v>25</v>
      </c>
      <c r="AP10" s="101">
        <v>7</v>
      </c>
      <c r="AQ10" s="101">
        <v>42</v>
      </c>
      <c r="AR10" s="101">
        <v>14</v>
      </c>
      <c r="AS10" s="101">
        <v>16</v>
      </c>
      <c r="AT10" s="97">
        <f t="shared" si="2"/>
        <v>104</v>
      </c>
    </row>
    <row r="11" spans="1:46" s="132" customFormat="1" ht="14.4" thickBot="1" x14ac:dyDescent="0.3">
      <c r="A11" s="124" t="s">
        <v>21</v>
      </c>
      <c r="B11" s="105">
        <f t="shared" ref="B11:F11" si="5">SUM(B6:B10)</f>
        <v>2397</v>
      </c>
      <c r="C11" s="105">
        <f t="shared" si="5"/>
        <v>567</v>
      </c>
      <c r="D11" s="105">
        <f t="shared" si="5"/>
        <v>2277</v>
      </c>
      <c r="E11" s="105">
        <f t="shared" si="5"/>
        <v>1891</v>
      </c>
      <c r="F11" s="105">
        <f t="shared" si="5"/>
        <v>883</v>
      </c>
      <c r="G11" s="102">
        <f t="shared" ref="G11" si="6">SUM(G6:G10)</f>
        <v>8015</v>
      </c>
      <c r="H11" s="111">
        <f t="shared" ref="H11:M11" si="7">SUM(H6:H10)</f>
        <v>1</v>
      </c>
      <c r="I11" s="111">
        <f t="shared" si="7"/>
        <v>0</v>
      </c>
      <c r="J11" s="111">
        <f t="shared" si="7"/>
        <v>6</v>
      </c>
      <c r="K11" s="111">
        <f t="shared" si="7"/>
        <v>3</v>
      </c>
      <c r="L11" s="111">
        <f t="shared" si="7"/>
        <v>3</v>
      </c>
      <c r="M11" s="103">
        <f t="shared" si="7"/>
        <v>13</v>
      </c>
      <c r="N11" s="104">
        <f t="shared" ref="N11:N43" si="8">M11*100/G11</f>
        <v>0.16219588271990018</v>
      </c>
      <c r="O11" s="105">
        <f t="shared" ref="O11:S11" si="9">SUM(O6:O10)</f>
        <v>11</v>
      </c>
      <c r="P11" s="105">
        <f t="shared" si="9"/>
        <v>5</v>
      </c>
      <c r="Q11" s="105">
        <f t="shared" si="9"/>
        <v>13</v>
      </c>
      <c r="R11" s="105">
        <f t="shared" si="9"/>
        <v>16</v>
      </c>
      <c r="S11" s="105">
        <f t="shared" si="9"/>
        <v>2</v>
      </c>
      <c r="T11" s="103">
        <f t="shared" ref="T11" si="10">SUM(T6:T10)</f>
        <v>47</v>
      </c>
      <c r="U11" s="104">
        <f t="shared" si="3"/>
        <v>0.58640049906425451</v>
      </c>
      <c r="V11" s="105">
        <f t="shared" ref="V11:AA11" si="11">SUM(V6:V10)</f>
        <v>4</v>
      </c>
      <c r="W11" s="105">
        <f t="shared" si="11"/>
        <v>4</v>
      </c>
      <c r="X11" s="105">
        <f t="shared" si="11"/>
        <v>7</v>
      </c>
      <c r="Y11" s="105">
        <f t="shared" si="11"/>
        <v>5</v>
      </c>
      <c r="Z11" s="105">
        <f t="shared" si="11"/>
        <v>1</v>
      </c>
      <c r="AA11" s="106">
        <f t="shared" si="11"/>
        <v>21</v>
      </c>
      <c r="AB11" s="104">
        <f t="shared" si="4"/>
        <v>0.26200873362445415</v>
      </c>
      <c r="AC11" s="105">
        <f>SUM(AC6:AC10)</f>
        <v>3</v>
      </c>
      <c r="AD11" s="105">
        <f t="shared" ref="AD11:AG11" si="12">SUM(AD6:AD10)</f>
        <v>3</v>
      </c>
      <c r="AE11" s="105">
        <f t="shared" si="12"/>
        <v>0</v>
      </c>
      <c r="AF11" s="105">
        <f>SUM(AF6:AF10)</f>
        <v>1</v>
      </c>
      <c r="AG11" s="105">
        <f t="shared" si="12"/>
        <v>2</v>
      </c>
      <c r="AH11" s="107">
        <f>SUM(AH6:AH10)</f>
        <v>9</v>
      </c>
      <c r="AI11" s="105">
        <f>SUM(AI6:AI10)</f>
        <v>3</v>
      </c>
      <c r="AJ11" s="105">
        <f t="shared" ref="AJ11:AM11" si="13">SUM(AJ6:AJ10)</f>
        <v>0</v>
      </c>
      <c r="AK11" s="105">
        <f t="shared" si="13"/>
        <v>2</v>
      </c>
      <c r="AL11" s="105">
        <f>SUM(AL6:AL10)</f>
        <v>1</v>
      </c>
      <c r="AM11" s="105">
        <f t="shared" si="13"/>
        <v>1</v>
      </c>
      <c r="AN11" s="107">
        <f>SUM(AN6:AN10)</f>
        <v>7</v>
      </c>
      <c r="AO11" s="105">
        <f>SUM(AO6:AO10)</f>
        <v>36</v>
      </c>
      <c r="AP11" s="105">
        <f t="shared" ref="AP11:AS11" si="14">SUM(AP6:AP10)</f>
        <v>24</v>
      </c>
      <c r="AQ11" s="105">
        <f t="shared" si="14"/>
        <v>108</v>
      </c>
      <c r="AR11" s="105">
        <f>SUM(AR6:AR10)</f>
        <v>29</v>
      </c>
      <c r="AS11" s="105">
        <f t="shared" si="14"/>
        <v>34</v>
      </c>
      <c r="AT11" s="107">
        <f>SUM(AT6:AT10)</f>
        <v>231</v>
      </c>
    </row>
    <row r="12" spans="1:4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</row>
    <row r="13" spans="1:4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</row>
    <row r="14" spans="1:46" ht="14.4" thickBot="1" x14ac:dyDescent="0.3">
      <c r="A14" s="89" t="s">
        <v>4</v>
      </c>
      <c r="B14" s="97">
        <v>24</v>
      </c>
      <c r="C14" s="97">
        <v>3</v>
      </c>
      <c r="D14" s="97">
        <v>25</v>
      </c>
      <c r="E14" s="97">
        <v>33</v>
      </c>
      <c r="F14" s="97">
        <v>15</v>
      </c>
      <c r="G14" s="98">
        <f>SUM(B14:F14)</f>
        <v>100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101">
        <f>SUM(H14:L14)</f>
        <v>0</v>
      </c>
      <c r="N14" s="99">
        <f t="shared" si="8"/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f>SUM(O14:S14)</f>
        <v>0</v>
      </c>
      <c r="U14" s="99">
        <f t="shared" si="3"/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 t="shared" si="4"/>
        <v>0</v>
      </c>
      <c r="AC14" s="97">
        <v>0</v>
      </c>
      <c r="AD14" s="97">
        <v>0</v>
      </c>
      <c r="AE14" s="97">
        <v>0</v>
      </c>
      <c r="AF14" s="97">
        <v>0</v>
      </c>
      <c r="AG14" s="97">
        <v>0</v>
      </c>
      <c r="AH14" s="97">
        <f>SUM(AC14:AG14)</f>
        <v>0</v>
      </c>
      <c r="AI14" s="101">
        <v>0</v>
      </c>
      <c r="AJ14" s="101">
        <v>0</v>
      </c>
      <c r="AK14" s="101">
        <v>0</v>
      </c>
      <c r="AL14" s="101">
        <v>0</v>
      </c>
      <c r="AM14" s="101">
        <v>0</v>
      </c>
      <c r="AN14" s="97">
        <f>SUM(AI14:AM14)</f>
        <v>0</v>
      </c>
      <c r="AO14" s="101">
        <v>1</v>
      </c>
      <c r="AP14" s="101">
        <v>0</v>
      </c>
      <c r="AQ14" s="101">
        <v>1</v>
      </c>
      <c r="AR14" s="101">
        <v>0</v>
      </c>
      <c r="AS14" s="101">
        <v>2</v>
      </c>
      <c r="AT14" s="97">
        <f>SUM(AO14:AS14)</f>
        <v>4</v>
      </c>
    </row>
    <row r="15" spans="1:46" ht="14.4" thickBot="1" x14ac:dyDescent="0.3">
      <c r="A15" s="89" t="s">
        <v>5</v>
      </c>
      <c r="B15" s="97">
        <v>166</v>
      </c>
      <c r="C15" s="97">
        <v>38</v>
      </c>
      <c r="D15" s="97">
        <v>215</v>
      </c>
      <c r="E15" s="97">
        <v>253</v>
      </c>
      <c r="F15" s="97">
        <v>55</v>
      </c>
      <c r="G15" s="98">
        <f t="shared" ref="G15:G24" si="15">SUM(B15:F15)</f>
        <v>727</v>
      </c>
      <c r="H15" s="97">
        <v>1</v>
      </c>
      <c r="I15" s="97">
        <v>0</v>
      </c>
      <c r="J15" s="97">
        <v>1</v>
      </c>
      <c r="K15" s="97">
        <v>0</v>
      </c>
      <c r="L15" s="97">
        <v>0</v>
      </c>
      <c r="M15" s="97">
        <f>SUM(H15:L15)</f>
        <v>2</v>
      </c>
      <c r="N15" s="99">
        <f t="shared" si="8"/>
        <v>0.27510316368638238</v>
      </c>
      <c r="O15" s="97">
        <v>1</v>
      </c>
      <c r="P15" s="97">
        <v>1</v>
      </c>
      <c r="Q15" s="97">
        <v>1</v>
      </c>
      <c r="R15" s="97">
        <v>1</v>
      </c>
      <c r="S15" s="97">
        <v>1</v>
      </c>
      <c r="T15" s="97">
        <f>SUM(O15:S15)</f>
        <v>5</v>
      </c>
      <c r="U15" s="99">
        <f t="shared" si="3"/>
        <v>0.68775790921595603</v>
      </c>
      <c r="V15" s="97">
        <v>0</v>
      </c>
      <c r="W15" s="97">
        <v>0</v>
      </c>
      <c r="X15" s="97">
        <v>1</v>
      </c>
      <c r="Y15" s="97">
        <v>0</v>
      </c>
      <c r="Z15" s="97">
        <v>0</v>
      </c>
      <c r="AA15" s="97">
        <f>SUM(V15:Z15)</f>
        <v>1</v>
      </c>
      <c r="AB15" s="99">
        <f t="shared" si="4"/>
        <v>0.13755158184319119</v>
      </c>
      <c r="AC15" s="97">
        <v>0</v>
      </c>
      <c r="AD15" s="97">
        <v>0</v>
      </c>
      <c r="AE15" s="97">
        <v>0</v>
      </c>
      <c r="AF15" s="97">
        <v>0</v>
      </c>
      <c r="AG15" s="97">
        <v>0</v>
      </c>
      <c r="AH15" s="97">
        <f t="shared" ref="AH15:AH24" si="16">SUM(AC15:AG15)</f>
        <v>0</v>
      </c>
      <c r="AI15" s="101">
        <v>0</v>
      </c>
      <c r="AJ15" s="101">
        <v>0</v>
      </c>
      <c r="AK15" s="101">
        <v>0</v>
      </c>
      <c r="AL15" s="101">
        <v>0</v>
      </c>
      <c r="AM15" s="101">
        <v>0</v>
      </c>
      <c r="AN15" s="97">
        <f t="shared" ref="AN15:AN24" si="17">SUM(AI15:AM15)</f>
        <v>0</v>
      </c>
      <c r="AO15" s="101">
        <v>7</v>
      </c>
      <c r="AP15" s="101">
        <v>11</v>
      </c>
      <c r="AQ15" s="101">
        <v>11</v>
      </c>
      <c r="AR15" s="101">
        <v>4</v>
      </c>
      <c r="AS15" s="101">
        <v>5</v>
      </c>
      <c r="AT15" s="97">
        <f t="shared" ref="AT15:AT24" si="18">SUM(AO15:AS15)</f>
        <v>38</v>
      </c>
    </row>
    <row r="16" spans="1:46" ht="14.4" thickBot="1" x14ac:dyDescent="0.3">
      <c r="A16" s="89" t="s">
        <v>6</v>
      </c>
      <c r="B16" s="109">
        <v>54</v>
      </c>
      <c r="C16" s="97">
        <v>25</v>
      </c>
      <c r="D16" s="97">
        <v>53</v>
      </c>
      <c r="E16" s="97">
        <v>68</v>
      </c>
      <c r="F16" s="97">
        <v>48</v>
      </c>
      <c r="G16" s="98">
        <f t="shared" si="15"/>
        <v>248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f t="shared" ref="M16:M20" si="19">SUM(H16:L16)</f>
        <v>0</v>
      </c>
      <c r="N16" s="99">
        <f t="shared" si="8"/>
        <v>0</v>
      </c>
      <c r="O16" s="97">
        <v>1</v>
      </c>
      <c r="P16" s="97">
        <v>0</v>
      </c>
      <c r="Q16" s="97">
        <v>0</v>
      </c>
      <c r="R16" s="97">
        <v>0</v>
      </c>
      <c r="S16" s="97">
        <v>0</v>
      </c>
      <c r="T16" s="97">
        <f>SUM(O16:S16)</f>
        <v>1</v>
      </c>
      <c r="U16" s="99">
        <f t="shared" si="3"/>
        <v>0.40322580645161288</v>
      </c>
      <c r="V16" s="97">
        <v>0</v>
      </c>
      <c r="W16" s="97">
        <v>0</v>
      </c>
      <c r="X16" s="97">
        <v>1</v>
      </c>
      <c r="Y16" s="97">
        <v>0</v>
      </c>
      <c r="Z16" s="97">
        <v>0</v>
      </c>
      <c r="AA16" s="97">
        <f>SUM(V16:Z16)</f>
        <v>1</v>
      </c>
      <c r="AB16" s="99">
        <f t="shared" si="4"/>
        <v>0.40322580645161288</v>
      </c>
      <c r="AC16" s="97">
        <v>0</v>
      </c>
      <c r="AD16" s="97">
        <v>0</v>
      </c>
      <c r="AE16" s="97">
        <v>0</v>
      </c>
      <c r="AF16" s="97">
        <v>0</v>
      </c>
      <c r="AG16" s="97">
        <v>0</v>
      </c>
      <c r="AH16" s="97">
        <f t="shared" si="16"/>
        <v>0</v>
      </c>
      <c r="AI16" s="101">
        <v>0</v>
      </c>
      <c r="AJ16" s="101">
        <v>0</v>
      </c>
      <c r="AK16" s="101">
        <v>0</v>
      </c>
      <c r="AL16" s="101">
        <v>0</v>
      </c>
      <c r="AM16" s="101">
        <v>0</v>
      </c>
      <c r="AN16" s="97">
        <f t="shared" si="17"/>
        <v>0</v>
      </c>
      <c r="AO16" s="101">
        <v>0</v>
      </c>
      <c r="AP16" s="101">
        <v>0</v>
      </c>
      <c r="AQ16" s="101">
        <v>4</v>
      </c>
      <c r="AR16" s="101">
        <v>0</v>
      </c>
      <c r="AS16" s="101">
        <v>0</v>
      </c>
      <c r="AT16" s="97">
        <f t="shared" si="18"/>
        <v>4</v>
      </c>
    </row>
    <row r="17" spans="1:46" ht="14.4" thickBot="1" x14ac:dyDescent="0.3">
      <c r="A17" s="89" t="s">
        <v>7</v>
      </c>
      <c r="B17" s="97">
        <v>38</v>
      </c>
      <c r="C17" s="97">
        <v>17</v>
      </c>
      <c r="D17" s="97">
        <v>42</v>
      </c>
      <c r="E17" s="97">
        <v>28</v>
      </c>
      <c r="F17" s="97">
        <v>26</v>
      </c>
      <c r="G17" s="98">
        <f t="shared" si="15"/>
        <v>151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>SUM(H17:L17)</f>
        <v>0</v>
      </c>
      <c r="N17" s="99">
        <f t="shared" si="8"/>
        <v>0</v>
      </c>
      <c r="O17" s="97">
        <v>0</v>
      </c>
      <c r="P17" s="97">
        <v>0</v>
      </c>
      <c r="Q17" s="97">
        <v>0</v>
      </c>
      <c r="R17" s="97">
        <v>1</v>
      </c>
      <c r="S17" s="97">
        <v>0</v>
      </c>
      <c r="T17" s="97">
        <f>SUM(O17:S17)</f>
        <v>1</v>
      </c>
      <c r="U17" s="99">
        <f t="shared" si="3"/>
        <v>0.66225165562913912</v>
      </c>
      <c r="V17" s="97">
        <v>0</v>
      </c>
      <c r="W17" s="97">
        <v>0</v>
      </c>
      <c r="X17" s="97">
        <v>1</v>
      </c>
      <c r="Y17" s="97">
        <v>1</v>
      </c>
      <c r="Z17" s="97">
        <v>0</v>
      </c>
      <c r="AA17" s="101">
        <f t="shared" ref="AA17:AA20" si="20">SUM(V17:Z17)</f>
        <v>2</v>
      </c>
      <c r="AB17" s="99">
        <f t="shared" si="4"/>
        <v>1.3245033112582782</v>
      </c>
      <c r="AC17" s="97">
        <v>0</v>
      </c>
      <c r="AD17" s="97">
        <v>0</v>
      </c>
      <c r="AE17" s="97">
        <v>0</v>
      </c>
      <c r="AF17" s="97">
        <v>0</v>
      </c>
      <c r="AG17" s="97">
        <v>0</v>
      </c>
      <c r="AH17" s="97">
        <f t="shared" si="16"/>
        <v>0</v>
      </c>
      <c r="AI17" s="101">
        <v>0</v>
      </c>
      <c r="AJ17" s="101">
        <v>0</v>
      </c>
      <c r="AK17" s="101">
        <v>0</v>
      </c>
      <c r="AL17" s="101">
        <v>0</v>
      </c>
      <c r="AM17" s="101">
        <v>0</v>
      </c>
      <c r="AN17" s="97">
        <f t="shared" si="17"/>
        <v>0</v>
      </c>
      <c r="AO17" s="101">
        <v>0</v>
      </c>
      <c r="AP17" s="101">
        <v>0</v>
      </c>
      <c r="AQ17" s="101">
        <v>1</v>
      </c>
      <c r="AR17" s="101">
        <v>0</v>
      </c>
      <c r="AS17" s="101">
        <v>0</v>
      </c>
      <c r="AT17" s="97">
        <f t="shared" si="18"/>
        <v>1</v>
      </c>
    </row>
    <row r="18" spans="1:46" ht="14.4" thickBot="1" x14ac:dyDescent="0.3">
      <c r="A18" s="89" t="s">
        <v>8</v>
      </c>
      <c r="B18" s="97">
        <v>6</v>
      </c>
      <c r="C18" s="97">
        <v>2</v>
      </c>
      <c r="D18" s="97">
        <v>8</v>
      </c>
      <c r="E18" s="97">
        <v>10</v>
      </c>
      <c r="F18" s="97">
        <v>3</v>
      </c>
      <c r="G18" s="98">
        <f t="shared" si="15"/>
        <v>29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>SUM(H18:L18)</f>
        <v>0</v>
      </c>
      <c r="N18" s="99">
        <f t="shared" si="8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f t="shared" ref="T18:T20" si="21">SUM(O18:S18)</f>
        <v>0</v>
      </c>
      <c r="U18" s="99">
        <f t="shared" si="3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>SUM(V18:Z18)</f>
        <v>0</v>
      </c>
      <c r="AB18" s="99">
        <f t="shared" si="4"/>
        <v>0</v>
      </c>
      <c r="AC18" s="97">
        <v>0</v>
      </c>
      <c r="AD18" s="97">
        <v>0</v>
      </c>
      <c r="AE18" s="97">
        <v>0</v>
      </c>
      <c r="AF18" s="97">
        <v>0</v>
      </c>
      <c r="AG18" s="97">
        <v>0</v>
      </c>
      <c r="AH18" s="97">
        <f t="shared" si="16"/>
        <v>0</v>
      </c>
      <c r="AI18" s="101">
        <v>0</v>
      </c>
      <c r="AJ18" s="101">
        <v>0</v>
      </c>
      <c r="AK18" s="101">
        <v>0</v>
      </c>
      <c r="AL18" s="101">
        <v>0</v>
      </c>
      <c r="AM18" s="101">
        <v>0</v>
      </c>
      <c r="AN18" s="97">
        <f t="shared" si="17"/>
        <v>0</v>
      </c>
      <c r="AO18" s="101">
        <v>0</v>
      </c>
      <c r="AP18" s="101">
        <v>0</v>
      </c>
      <c r="AQ18" s="101">
        <v>0</v>
      </c>
      <c r="AR18" s="101">
        <v>0</v>
      </c>
      <c r="AS18" s="101">
        <v>1</v>
      </c>
      <c r="AT18" s="97">
        <f t="shared" si="18"/>
        <v>1</v>
      </c>
    </row>
    <row r="19" spans="1:46" ht="14.4" thickBot="1" x14ac:dyDescent="0.3">
      <c r="A19" s="89" t="s">
        <v>9</v>
      </c>
      <c r="B19" s="97">
        <v>22</v>
      </c>
      <c r="C19" s="97">
        <v>10</v>
      </c>
      <c r="D19" s="97">
        <v>20</v>
      </c>
      <c r="E19" s="97">
        <v>26</v>
      </c>
      <c r="F19" s="97">
        <v>10</v>
      </c>
      <c r="G19" s="98">
        <f t="shared" si="15"/>
        <v>88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f t="shared" si="19"/>
        <v>0</v>
      </c>
      <c r="N19" s="99">
        <f t="shared" si="8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21"/>
        <v>0</v>
      </c>
      <c r="U19" s="99">
        <f t="shared" si="3"/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f t="shared" si="20"/>
        <v>0</v>
      </c>
      <c r="AB19" s="99">
        <f t="shared" si="4"/>
        <v>0</v>
      </c>
      <c r="AC19" s="97">
        <v>0</v>
      </c>
      <c r="AD19" s="97">
        <v>0</v>
      </c>
      <c r="AE19" s="97">
        <v>0</v>
      </c>
      <c r="AF19" s="97">
        <v>0</v>
      </c>
      <c r="AG19" s="97">
        <v>0</v>
      </c>
      <c r="AH19" s="97">
        <f t="shared" si="16"/>
        <v>0</v>
      </c>
      <c r="AI19" s="101">
        <v>0</v>
      </c>
      <c r="AJ19" s="101">
        <v>0</v>
      </c>
      <c r="AK19" s="101">
        <v>0</v>
      </c>
      <c r="AL19" s="101">
        <v>0</v>
      </c>
      <c r="AM19" s="101">
        <v>0</v>
      </c>
      <c r="AN19" s="97">
        <f t="shared" si="17"/>
        <v>0</v>
      </c>
      <c r="AO19" s="101">
        <v>0</v>
      </c>
      <c r="AP19" s="101">
        <v>0</v>
      </c>
      <c r="AQ19" s="101">
        <v>0</v>
      </c>
      <c r="AR19" s="101">
        <v>0</v>
      </c>
      <c r="AS19" s="101">
        <v>0</v>
      </c>
      <c r="AT19" s="97">
        <f t="shared" si="18"/>
        <v>0</v>
      </c>
    </row>
    <row r="20" spans="1:46" ht="14.4" thickBot="1" x14ac:dyDescent="0.3">
      <c r="A20" s="89" t="s">
        <v>10</v>
      </c>
      <c r="B20" s="97">
        <v>12</v>
      </c>
      <c r="C20" s="97">
        <v>7</v>
      </c>
      <c r="D20" s="97">
        <v>12</v>
      </c>
      <c r="E20" s="97">
        <v>24</v>
      </c>
      <c r="F20" s="97">
        <v>1</v>
      </c>
      <c r="G20" s="98">
        <f t="shared" si="15"/>
        <v>56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19"/>
        <v>0</v>
      </c>
      <c r="N20" s="99">
        <f t="shared" si="8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21"/>
        <v>0</v>
      </c>
      <c r="U20" s="99">
        <f t="shared" si="3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20"/>
        <v>0</v>
      </c>
      <c r="AB20" s="99">
        <f t="shared" si="4"/>
        <v>0</v>
      </c>
      <c r="AC20" s="97">
        <v>0</v>
      </c>
      <c r="AD20" s="97">
        <v>0</v>
      </c>
      <c r="AE20" s="97">
        <v>0</v>
      </c>
      <c r="AF20" s="97">
        <v>0</v>
      </c>
      <c r="AG20" s="97">
        <v>0</v>
      </c>
      <c r="AH20" s="97">
        <f t="shared" si="16"/>
        <v>0</v>
      </c>
      <c r="AI20" s="101">
        <v>0</v>
      </c>
      <c r="AJ20" s="101">
        <v>0</v>
      </c>
      <c r="AK20" s="101">
        <v>0</v>
      </c>
      <c r="AL20" s="101">
        <v>0</v>
      </c>
      <c r="AM20" s="101">
        <v>0</v>
      </c>
      <c r="AN20" s="97">
        <f t="shared" si="17"/>
        <v>0</v>
      </c>
      <c r="AO20" s="101">
        <v>0</v>
      </c>
      <c r="AP20" s="101">
        <v>0</v>
      </c>
      <c r="AQ20" s="101">
        <v>0</v>
      </c>
      <c r="AR20" s="101">
        <v>0</v>
      </c>
      <c r="AS20" s="101">
        <v>0</v>
      </c>
      <c r="AT20" s="97">
        <f t="shared" si="18"/>
        <v>0</v>
      </c>
    </row>
    <row r="21" spans="1:46" ht="14.4" thickBot="1" x14ac:dyDescent="0.3">
      <c r="A21" s="89" t="s">
        <v>11</v>
      </c>
      <c r="B21" s="97">
        <v>75</v>
      </c>
      <c r="C21" s="97">
        <v>4</v>
      </c>
      <c r="D21" s="97">
        <v>73</v>
      </c>
      <c r="E21" s="97">
        <v>88</v>
      </c>
      <c r="F21" s="97">
        <v>33</v>
      </c>
      <c r="G21" s="98">
        <f t="shared" si="15"/>
        <v>273</v>
      </c>
      <c r="H21" s="97">
        <v>0</v>
      </c>
      <c r="I21" s="97">
        <v>0</v>
      </c>
      <c r="J21" s="97">
        <v>0</v>
      </c>
      <c r="K21" s="97">
        <v>1</v>
      </c>
      <c r="L21" s="97">
        <v>0</v>
      </c>
      <c r="M21" s="97">
        <f>SUM(H21:L21)</f>
        <v>1</v>
      </c>
      <c r="N21" s="99">
        <f t="shared" si="8"/>
        <v>0.36630036630036628</v>
      </c>
      <c r="O21" s="97">
        <v>0</v>
      </c>
      <c r="P21" s="97">
        <v>0</v>
      </c>
      <c r="Q21" s="97">
        <v>0</v>
      </c>
      <c r="R21" s="97">
        <v>5</v>
      </c>
      <c r="S21" s="97">
        <v>0</v>
      </c>
      <c r="T21" s="97">
        <f>SUM(O21:S21)</f>
        <v>5</v>
      </c>
      <c r="U21" s="99">
        <f t="shared" si="3"/>
        <v>1.8315018315018314</v>
      </c>
      <c r="V21" s="97">
        <v>0</v>
      </c>
      <c r="W21" s="97">
        <v>0</v>
      </c>
      <c r="X21" s="97">
        <v>1</v>
      </c>
      <c r="Y21" s="97">
        <v>0</v>
      </c>
      <c r="Z21" s="97">
        <v>0</v>
      </c>
      <c r="AA21" s="97">
        <f>SUM(V21:Z21)</f>
        <v>1</v>
      </c>
      <c r="AB21" s="99">
        <f t="shared" si="4"/>
        <v>0.36630036630036628</v>
      </c>
      <c r="AC21" s="97">
        <v>0</v>
      </c>
      <c r="AD21" s="97">
        <v>0</v>
      </c>
      <c r="AE21" s="97">
        <v>0</v>
      </c>
      <c r="AF21" s="97">
        <v>0</v>
      </c>
      <c r="AG21" s="97">
        <v>0</v>
      </c>
      <c r="AH21" s="97">
        <f t="shared" si="16"/>
        <v>0</v>
      </c>
      <c r="AI21" s="101">
        <v>0</v>
      </c>
      <c r="AJ21" s="101">
        <v>0</v>
      </c>
      <c r="AK21" s="101">
        <v>0</v>
      </c>
      <c r="AL21" s="101">
        <v>0</v>
      </c>
      <c r="AM21" s="101">
        <v>0</v>
      </c>
      <c r="AN21" s="97">
        <f t="shared" si="17"/>
        <v>0</v>
      </c>
      <c r="AO21" s="101">
        <v>3</v>
      </c>
      <c r="AP21" s="101">
        <v>0</v>
      </c>
      <c r="AQ21" s="101">
        <v>3</v>
      </c>
      <c r="AR21" s="101">
        <v>7</v>
      </c>
      <c r="AS21" s="101">
        <v>0</v>
      </c>
      <c r="AT21" s="97">
        <f t="shared" si="18"/>
        <v>13</v>
      </c>
    </row>
    <row r="22" spans="1:46" ht="14.4" thickBot="1" x14ac:dyDescent="0.3">
      <c r="A22" s="89" t="s">
        <v>12</v>
      </c>
      <c r="B22" s="97">
        <v>1485</v>
      </c>
      <c r="C22" s="97">
        <v>558</v>
      </c>
      <c r="D22" s="97">
        <v>1812</v>
      </c>
      <c r="E22" s="97">
        <v>1825</v>
      </c>
      <c r="F22" s="97">
        <v>842</v>
      </c>
      <c r="G22" s="98">
        <f t="shared" si="15"/>
        <v>6522</v>
      </c>
      <c r="H22" s="97">
        <v>2</v>
      </c>
      <c r="I22" s="97">
        <v>0</v>
      </c>
      <c r="J22" s="97">
        <v>5</v>
      </c>
      <c r="K22" s="97">
        <v>9</v>
      </c>
      <c r="L22" s="97">
        <v>2</v>
      </c>
      <c r="M22" s="97">
        <f>SUM(H22:L22)</f>
        <v>18</v>
      </c>
      <c r="N22" s="99">
        <f t="shared" si="8"/>
        <v>0.27598896044158233</v>
      </c>
      <c r="O22" s="97">
        <v>5</v>
      </c>
      <c r="P22" s="97">
        <v>3</v>
      </c>
      <c r="Q22" s="97">
        <v>11</v>
      </c>
      <c r="R22" s="97">
        <v>11</v>
      </c>
      <c r="S22" s="97">
        <v>2</v>
      </c>
      <c r="T22" s="97">
        <f>SUM(O22:S22)</f>
        <v>32</v>
      </c>
      <c r="U22" s="99">
        <f t="shared" si="3"/>
        <v>0.49064704078503524</v>
      </c>
      <c r="V22" s="97">
        <v>1</v>
      </c>
      <c r="W22" s="97">
        <v>0</v>
      </c>
      <c r="X22" s="97">
        <v>3</v>
      </c>
      <c r="Y22" s="97">
        <v>0</v>
      </c>
      <c r="Z22" s="97">
        <v>0</v>
      </c>
      <c r="AA22" s="97">
        <f>SUM(V22:Z22)</f>
        <v>4</v>
      </c>
      <c r="AB22" s="99">
        <f t="shared" si="4"/>
        <v>6.1330880098129405E-2</v>
      </c>
      <c r="AC22" s="97">
        <v>1</v>
      </c>
      <c r="AD22" s="97">
        <v>0</v>
      </c>
      <c r="AE22" s="97">
        <v>0</v>
      </c>
      <c r="AF22" s="97">
        <v>3</v>
      </c>
      <c r="AG22" s="97">
        <v>0</v>
      </c>
      <c r="AH22" s="97">
        <f t="shared" si="16"/>
        <v>4</v>
      </c>
      <c r="AI22" s="101">
        <v>0</v>
      </c>
      <c r="AJ22" s="101">
        <v>0</v>
      </c>
      <c r="AK22" s="101">
        <v>2</v>
      </c>
      <c r="AL22" s="101">
        <v>0</v>
      </c>
      <c r="AM22" s="101">
        <v>0</v>
      </c>
      <c r="AN22" s="97">
        <f t="shared" si="17"/>
        <v>2</v>
      </c>
      <c r="AO22" s="101">
        <v>38</v>
      </c>
      <c r="AP22" s="101">
        <v>19</v>
      </c>
      <c r="AQ22" s="101">
        <v>53</v>
      </c>
      <c r="AR22" s="101">
        <v>19</v>
      </c>
      <c r="AS22" s="101">
        <v>21</v>
      </c>
      <c r="AT22" s="97">
        <f t="shared" si="18"/>
        <v>150</v>
      </c>
    </row>
    <row r="23" spans="1:46" ht="14.4" thickBot="1" x14ac:dyDescent="0.3">
      <c r="A23" s="89" t="s">
        <v>13</v>
      </c>
      <c r="B23" s="97">
        <v>5</v>
      </c>
      <c r="C23" s="97">
        <v>5</v>
      </c>
      <c r="D23" s="97">
        <v>4</v>
      </c>
      <c r="E23" s="97">
        <v>0</v>
      </c>
      <c r="F23" s="97">
        <v>7</v>
      </c>
      <c r="G23" s="98">
        <f t="shared" si="15"/>
        <v>21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>SUM(H23:L23)</f>
        <v>0</v>
      </c>
      <c r="N23" s="99">
        <f t="shared" si="8"/>
        <v>0</v>
      </c>
      <c r="O23" s="97">
        <v>0</v>
      </c>
      <c r="P23" s="97">
        <v>0</v>
      </c>
      <c r="Q23" s="97">
        <v>0</v>
      </c>
      <c r="R23" s="97">
        <v>0</v>
      </c>
      <c r="S23" s="97">
        <v>0</v>
      </c>
      <c r="T23" s="97">
        <f>SUM(O23:S23)</f>
        <v>0</v>
      </c>
      <c r="U23" s="99">
        <f t="shared" si="3"/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>SUM(V23:Z23)</f>
        <v>0</v>
      </c>
      <c r="AB23" s="99">
        <f t="shared" si="4"/>
        <v>0</v>
      </c>
      <c r="AC23" s="97">
        <v>0</v>
      </c>
      <c r="AD23" s="97">
        <v>0</v>
      </c>
      <c r="AE23" s="97">
        <v>1</v>
      </c>
      <c r="AF23" s="97">
        <v>0</v>
      </c>
      <c r="AG23" s="97">
        <v>0</v>
      </c>
      <c r="AH23" s="97">
        <f t="shared" si="16"/>
        <v>1</v>
      </c>
      <c r="AI23" s="101">
        <v>0</v>
      </c>
      <c r="AJ23" s="101">
        <v>0</v>
      </c>
      <c r="AK23" s="101">
        <v>0</v>
      </c>
      <c r="AL23" s="101">
        <v>0</v>
      </c>
      <c r="AM23" s="101">
        <v>0</v>
      </c>
      <c r="AN23" s="97">
        <f t="shared" si="17"/>
        <v>0</v>
      </c>
      <c r="AO23" s="101">
        <v>0</v>
      </c>
      <c r="AP23" s="101">
        <v>0</v>
      </c>
      <c r="AQ23" s="101">
        <v>0</v>
      </c>
      <c r="AR23" s="101">
        <v>0</v>
      </c>
      <c r="AS23" s="101">
        <v>0</v>
      </c>
      <c r="AT23" s="97">
        <f t="shared" si="18"/>
        <v>0</v>
      </c>
    </row>
    <row r="24" spans="1:46" ht="23.4" thickBot="1" x14ac:dyDescent="0.3">
      <c r="A24" s="139" t="s">
        <v>23</v>
      </c>
      <c r="B24" s="110">
        <v>485</v>
      </c>
      <c r="C24" s="110">
        <v>134</v>
      </c>
      <c r="D24" s="97">
        <v>605</v>
      </c>
      <c r="E24" s="110">
        <v>474</v>
      </c>
      <c r="F24" s="97">
        <v>232</v>
      </c>
      <c r="G24" s="98">
        <f t="shared" si="15"/>
        <v>1930</v>
      </c>
      <c r="H24" s="110">
        <v>1</v>
      </c>
      <c r="I24" s="97">
        <v>0</v>
      </c>
      <c r="J24" s="97">
        <v>0</v>
      </c>
      <c r="K24" s="97">
        <v>0</v>
      </c>
      <c r="L24" s="97">
        <v>0</v>
      </c>
      <c r="M24" s="97">
        <f>SUM(H24:L24)</f>
        <v>1</v>
      </c>
      <c r="N24" s="99">
        <f t="shared" si="8"/>
        <v>5.181347150259067E-2</v>
      </c>
      <c r="O24" s="110">
        <v>1</v>
      </c>
      <c r="P24" s="97">
        <v>2</v>
      </c>
      <c r="Q24" s="110">
        <v>1</v>
      </c>
      <c r="R24" s="110">
        <v>2</v>
      </c>
      <c r="S24" s="97">
        <v>0</v>
      </c>
      <c r="T24" s="97">
        <f>SUM(O24:S24)</f>
        <v>6</v>
      </c>
      <c r="U24" s="99">
        <f t="shared" si="3"/>
        <v>0.31088082901554404</v>
      </c>
      <c r="V24" s="110">
        <v>0</v>
      </c>
      <c r="W24" s="110">
        <v>0</v>
      </c>
      <c r="X24" s="110">
        <v>0</v>
      </c>
      <c r="Y24" s="110">
        <v>8</v>
      </c>
      <c r="Z24" s="110">
        <v>0</v>
      </c>
      <c r="AA24" s="97">
        <f>SUM(V24:Z24)</f>
        <v>8</v>
      </c>
      <c r="AB24" s="99">
        <f t="shared" si="4"/>
        <v>0.41450777202072536</v>
      </c>
      <c r="AC24" s="110">
        <v>0</v>
      </c>
      <c r="AD24" s="110">
        <v>0</v>
      </c>
      <c r="AE24" s="110">
        <v>0</v>
      </c>
      <c r="AF24" s="110">
        <v>0</v>
      </c>
      <c r="AG24" s="110">
        <v>1</v>
      </c>
      <c r="AH24" s="97">
        <f t="shared" si="16"/>
        <v>1</v>
      </c>
      <c r="AI24" s="101">
        <v>0</v>
      </c>
      <c r="AJ24" s="101">
        <v>0</v>
      </c>
      <c r="AK24" s="101">
        <v>0</v>
      </c>
      <c r="AL24" s="101">
        <v>0</v>
      </c>
      <c r="AM24" s="101">
        <v>0</v>
      </c>
      <c r="AN24" s="97">
        <f t="shared" si="17"/>
        <v>0</v>
      </c>
      <c r="AO24" s="101">
        <v>2</v>
      </c>
      <c r="AP24" s="101">
        <v>10</v>
      </c>
      <c r="AQ24" s="101">
        <v>2</v>
      </c>
      <c r="AR24" s="101">
        <v>34</v>
      </c>
      <c r="AS24" s="101">
        <v>4</v>
      </c>
      <c r="AT24" s="97">
        <f t="shared" si="18"/>
        <v>52</v>
      </c>
    </row>
    <row r="25" spans="1:46" s="132" customFormat="1" ht="14.4" thickBot="1" x14ac:dyDescent="0.3">
      <c r="A25" s="128" t="s">
        <v>22</v>
      </c>
      <c r="B25" s="111">
        <f t="shared" ref="B25:M25" si="22">SUM(B14:B24)</f>
        <v>2372</v>
      </c>
      <c r="C25" s="111">
        <f t="shared" si="22"/>
        <v>803</v>
      </c>
      <c r="D25" s="111">
        <f t="shared" si="22"/>
        <v>2869</v>
      </c>
      <c r="E25" s="111">
        <f t="shared" si="22"/>
        <v>2829</v>
      </c>
      <c r="F25" s="111">
        <f t="shared" si="22"/>
        <v>1272</v>
      </c>
      <c r="G25" s="102">
        <f t="shared" si="22"/>
        <v>10145</v>
      </c>
      <c r="H25" s="111">
        <f t="shared" si="22"/>
        <v>4</v>
      </c>
      <c r="I25" s="111">
        <f t="shared" si="22"/>
        <v>0</v>
      </c>
      <c r="J25" s="111">
        <f t="shared" si="22"/>
        <v>6</v>
      </c>
      <c r="K25" s="111">
        <f t="shared" si="22"/>
        <v>10</v>
      </c>
      <c r="L25" s="111">
        <f t="shared" si="22"/>
        <v>2</v>
      </c>
      <c r="M25" s="103">
        <f t="shared" si="22"/>
        <v>22</v>
      </c>
      <c r="N25" s="104">
        <f t="shared" si="8"/>
        <v>0.21685559388861508</v>
      </c>
      <c r="O25" s="111">
        <f t="shared" ref="O25:T25" si="23">SUM(O14:O24)</f>
        <v>8</v>
      </c>
      <c r="P25" s="111">
        <f t="shared" si="23"/>
        <v>6</v>
      </c>
      <c r="Q25" s="111">
        <f t="shared" si="23"/>
        <v>13</v>
      </c>
      <c r="R25" s="111">
        <f t="shared" si="23"/>
        <v>20</v>
      </c>
      <c r="S25" s="111">
        <f t="shared" si="23"/>
        <v>3</v>
      </c>
      <c r="T25" s="103">
        <f t="shared" si="23"/>
        <v>50</v>
      </c>
      <c r="U25" s="104">
        <f t="shared" si="3"/>
        <v>0.49285362247412517</v>
      </c>
      <c r="V25" s="111">
        <f t="shared" ref="V25:AA25" si="24">SUM(V14:V24)</f>
        <v>1</v>
      </c>
      <c r="W25" s="111">
        <f t="shared" si="24"/>
        <v>0</v>
      </c>
      <c r="X25" s="111">
        <f t="shared" si="24"/>
        <v>7</v>
      </c>
      <c r="Y25" s="111">
        <f t="shared" si="24"/>
        <v>9</v>
      </c>
      <c r="Z25" s="111">
        <f t="shared" si="24"/>
        <v>0</v>
      </c>
      <c r="AA25" s="103">
        <f t="shared" si="24"/>
        <v>17</v>
      </c>
      <c r="AB25" s="104">
        <f t="shared" si="4"/>
        <v>0.16757023164120255</v>
      </c>
      <c r="AC25" s="111">
        <f t="shared" ref="AC25:AT25" si="25">SUM(AC14:AC24)</f>
        <v>1</v>
      </c>
      <c r="AD25" s="111">
        <f t="shared" si="25"/>
        <v>0</v>
      </c>
      <c r="AE25" s="111">
        <f t="shared" si="25"/>
        <v>1</v>
      </c>
      <c r="AF25" s="111">
        <f t="shared" si="25"/>
        <v>3</v>
      </c>
      <c r="AG25" s="111">
        <f t="shared" si="25"/>
        <v>1</v>
      </c>
      <c r="AH25" s="107">
        <f t="shared" si="25"/>
        <v>6</v>
      </c>
      <c r="AI25" s="111">
        <f t="shared" si="25"/>
        <v>0</v>
      </c>
      <c r="AJ25" s="111">
        <f t="shared" si="25"/>
        <v>0</v>
      </c>
      <c r="AK25" s="111">
        <f t="shared" si="25"/>
        <v>2</v>
      </c>
      <c r="AL25" s="111">
        <f t="shared" si="25"/>
        <v>0</v>
      </c>
      <c r="AM25" s="111">
        <f t="shared" si="25"/>
        <v>0</v>
      </c>
      <c r="AN25" s="107">
        <f t="shared" si="25"/>
        <v>2</v>
      </c>
      <c r="AO25" s="111">
        <f t="shared" si="25"/>
        <v>51</v>
      </c>
      <c r="AP25" s="111">
        <f t="shared" si="25"/>
        <v>40</v>
      </c>
      <c r="AQ25" s="111">
        <f t="shared" si="25"/>
        <v>75</v>
      </c>
      <c r="AR25" s="111">
        <f t="shared" si="25"/>
        <v>64</v>
      </c>
      <c r="AS25" s="111">
        <f t="shared" si="25"/>
        <v>33</v>
      </c>
      <c r="AT25" s="107">
        <f t="shared" si="25"/>
        <v>263</v>
      </c>
    </row>
    <row r="26" spans="1:46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</row>
    <row r="27" spans="1:46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2"/>
      <c r="AD27" s="112"/>
      <c r="AE27" s="112"/>
      <c r="AF27" s="112"/>
      <c r="AG27" s="112"/>
      <c r="AH27" s="127"/>
      <c r="AI27" s="127"/>
      <c r="AJ27" s="127"/>
      <c r="AK27" s="127"/>
      <c r="AL27" s="127"/>
      <c r="AM27" s="127"/>
      <c r="AN27" s="126"/>
      <c r="AO27" s="127"/>
      <c r="AP27" s="127"/>
      <c r="AQ27" s="127"/>
      <c r="AR27" s="127"/>
      <c r="AS27" s="127"/>
      <c r="AT27" s="127"/>
    </row>
    <row r="28" spans="1:46" ht="14.4" thickBot="1" x14ac:dyDescent="0.3">
      <c r="A28" s="89" t="s">
        <v>15</v>
      </c>
      <c r="B28" s="97">
        <v>3689</v>
      </c>
      <c r="C28" s="97">
        <v>1937</v>
      </c>
      <c r="D28" s="97">
        <v>3485</v>
      </c>
      <c r="E28" s="97">
        <v>3430</v>
      </c>
      <c r="F28" s="97">
        <v>3058</v>
      </c>
      <c r="G28" s="98">
        <f>SUM(B28:F28)</f>
        <v>15599</v>
      </c>
      <c r="H28" s="97">
        <v>1</v>
      </c>
      <c r="I28" s="97">
        <v>0</v>
      </c>
      <c r="J28" s="97">
        <v>3</v>
      </c>
      <c r="K28" s="97">
        <v>7</v>
      </c>
      <c r="L28" s="97">
        <v>2</v>
      </c>
      <c r="M28" s="97">
        <f t="shared" ref="M28:M36" si="26">SUM(H28:L28)</f>
        <v>13</v>
      </c>
      <c r="N28" s="99">
        <f t="shared" si="8"/>
        <v>8.3338675556125397E-2</v>
      </c>
      <c r="O28" s="97">
        <v>3</v>
      </c>
      <c r="P28" s="97">
        <v>1</v>
      </c>
      <c r="Q28" s="97">
        <v>2</v>
      </c>
      <c r="R28" s="97">
        <v>5</v>
      </c>
      <c r="S28" s="97">
        <v>2</v>
      </c>
      <c r="T28" s="97">
        <f>SUM(O28:S28)</f>
        <v>13</v>
      </c>
      <c r="U28" s="99">
        <f t="shared" si="3"/>
        <v>8.3338675556125397E-2</v>
      </c>
      <c r="V28" s="97">
        <v>1</v>
      </c>
      <c r="W28" s="97">
        <v>2</v>
      </c>
      <c r="X28" s="97">
        <v>2</v>
      </c>
      <c r="Y28" s="97">
        <v>1</v>
      </c>
      <c r="Z28" s="97">
        <v>2</v>
      </c>
      <c r="AA28" s="97">
        <f t="shared" ref="AA28:AA36" si="27">SUM(V28:Z28)</f>
        <v>8</v>
      </c>
      <c r="AB28" s="99">
        <f t="shared" si="4"/>
        <v>5.1285338803769474E-2</v>
      </c>
      <c r="AC28" s="97">
        <v>1</v>
      </c>
      <c r="AD28" s="97">
        <v>0</v>
      </c>
      <c r="AE28" s="97">
        <v>1</v>
      </c>
      <c r="AF28" s="97">
        <v>0</v>
      </c>
      <c r="AG28" s="97">
        <v>1</v>
      </c>
      <c r="AH28" s="97">
        <f t="shared" ref="AH28:AH36" si="28">SUM(AC28:AG28)</f>
        <v>3</v>
      </c>
      <c r="AI28" s="101">
        <v>0</v>
      </c>
      <c r="AJ28" s="101">
        <v>4</v>
      </c>
      <c r="AK28" s="101">
        <v>0</v>
      </c>
      <c r="AL28" s="101">
        <v>2</v>
      </c>
      <c r="AM28" s="101">
        <v>0</v>
      </c>
      <c r="AN28" s="97">
        <f t="shared" ref="AN28:AN36" si="29">SUM(AI28:AM28)</f>
        <v>6</v>
      </c>
      <c r="AO28" s="101">
        <v>8</v>
      </c>
      <c r="AP28" s="101">
        <v>10</v>
      </c>
      <c r="AQ28" s="101">
        <v>26</v>
      </c>
      <c r="AR28" s="101">
        <v>11</v>
      </c>
      <c r="AS28" s="101">
        <v>8</v>
      </c>
      <c r="AT28" s="97">
        <f t="shared" ref="AT28:AT36" si="30">SUM(AO28:AS28)</f>
        <v>63</v>
      </c>
    </row>
    <row r="29" spans="1:46" ht="14.4" thickBot="1" x14ac:dyDescent="0.3">
      <c r="A29" s="89" t="s">
        <v>16</v>
      </c>
      <c r="B29" s="97">
        <v>1422</v>
      </c>
      <c r="C29" s="97">
        <v>810</v>
      </c>
      <c r="D29" s="97">
        <v>1814</v>
      </c>
      <c r="E29" s="97">
        <v>1629</v>
      </c>
      <c r="F29" s="97">
        <v>1026</v>
      </c>
      <c r="G29" s="98">
        <f t="shared" ref="G29:G36" si="31">SUM(B29:F29)</f>
        <v>6701</v>
      </c>
      <c r="H29" s="97">
        <v>8</v>
      </c>
      <c r="I29" s="97">
        <v>4</v>
      </c>
      <c r="J29" s="97">
        <v>14</v>
      </c>
      <c r="K29" s="97">
        <v>6</v>
      </c>
      <c r="L29" s="97">
        <v>2</v>
      </c>
      <c r="M29" s="97">
        <f t="shared" si="26"/>
        <v>34</v>
      </c>
      <c r="N29" s="99">
        <f t="shared" si="8"/>
        <v>0.50738695717057158</v>
      </c>
      <c r="O29" s="97">
        <v>3</v>
      </c>
      <c r="P29" s="97">
        <v>9</v>
      </c>
      <c r="Q29" s="97">
        <v>8</v>
      </c>
      <c r="R29" s="97">
        <v>5</v>
      </c>
      <c r="S29" s="97">
        <v>4</v>
      </c>
      <c r="T29" s="97">
        <f t="shared" ref="T29:T36" si="32">SUM(O29:S29)</f>
        <v>29</v>
      </c>
      <c r="U29" s="99">
        <f t="shared" si="3"/>
        <v>0.43277122817489927</v>
      </c>
      <c r="V29" s="97">
        <v>1</v>
      </c>
      <c r="W29" s="97">
        <v>1</v>
      </c>
      <c r="X29" s="97">
        <v>9</v>
      </c>
      <c r="Y29" s="97">
        <v>1</v>
      </c>
      <c r="Z29" s="97">
        <v>1</v>
      </c>
      <c r="AA29" s="97">
        <f t="shared" si="27"/>
        <v>13</v>
      </c>
      <c r="AB29" s="99">
        <f t="shared" si="4"/>
        <v>0.19400089538874796</v>
      </c>
      <c r="AC29" s="97">
        <v>2</v>
      </c>
      <c r="AD29" s="97">
        <v>4</v>
      </c>
      <c r="AE29" s="97">
        <v>3</v>
      </c>
      <c r="AF29" s="97">
        <v>2</v>
      </c>
      <c r="AG29" s="97">
        <v>0</v>
      </c>
      <c r="AH29" s="97">
        <f t="shared" si="28"/>
        <v>11</v>
      </c>
      <c r="AI29" s="101">
        <v>2</v>
      </c>
      <c r="AJ29" s="101">
        <v>1</v>
      </c>
      <c r="AK29" s="101">
        <v>1</v>
      </c>
      <c r="AL29" s="101">
        <v>0</v>
      </c>
      <c r="AM29" s="101">
        <v>0</v>
      </c>
      <c r="AN29" s="97">
        <f t="shared" si="29"/>
        <v>4</v>
      </c>
      <c r="AO29" s="101">
        <v>6</v>
      </c>
      <c r="AP29" s="101">
        <v>15</v>
      </c>
      <c r="AQ29" s="101">
        <v>53</v>
      </c>
      <c r="AR29" s="101">
        <v>10</v>
      </c>
      <c r="AS29" s="101">
        <v>8</v>
      </c>
      <c r="AT29" s="97">
        <f t="shared" si="30"/>
        <v>92</v>
      </c>
    </row>
    <row r="30" spans="1:46" ht="14.4" thickBot="1" x14ac:dyDescent="0.3">
      <c r="A30" s="89" t="s">
        <v>34</v>
      </c>
      <c r="B30" s="97">
        <v>1028</v>
      </c>
      <c r="C30" s="97">
        <v>650</v>
      </c>
      <c r="D30" s="97">
        <v>904</v>
      </c>
      <c r="E30" s="97">
        <v>863</v>
      </c>
      <c r="F30" s="97">
        <v>1332</v>
      </c>
      <c r="G30" s="98">
        <f t="shared" si="31"/>
        <v>4777</v>
      </c>
      <c r="H30" s="97">
        <v>1</v>
      </c>
      <c r="I30" s="97">
        <v>0</v>
      </c>
      <c r="J30" s="97">
        <v>3</v>
      </c>
      <c r="K30" s="97">
        <v>2</v>
      </c>
      <c r="L30" s="97">
        <v>3</v>
      </c>
      <c r="M30" s="97">
        <f t="shared" si="26"/>
        <v>9</v>
      </c>
      <c r="N30" s="99">
        <f t="shared" si="8"/>
        <v>0.18840276324052752</v>
      </c>
      <c r="O30" s="97">
        <v>7</v>
      </c>
      <c r="P30" s="97">
        <v>3</v>
      </c>
      <c r="Q30" s="97">
        <v>6</v>
      </c>
      <c r="R30" s="97">
        <v>7</v>
      </c>
      <c r="S30" s="97">
        <v>5</v>
      </c>
      <c r="T30" s="97">
        <f t="shared" si="32"/>
        <v>28</v>
      </c>
      <c r="U30" s="99">
        <f t="shared" si="3"/>
        <v>0.58614193008164117</v>
      </c>
      <c r="V30" s="97">
        <v>0</v>
      </c>
      <c r="W30" s="97">
        <v>0</v>
      </c>
      <c r="X30" s="97">
        <v>1</v>
      </c>
      <c r="Y30" s="97">
        <v>1</v>
      </c>
      <c r="Z30" s="97">
        <v>1</v>
      </c>
      <c r="AA30" s="97">
        <f t="shared" si="27"/>
        <v>3</v>
      </c>
      <c r="AB30" s="99">
        <f t="shared" si="4"/>
        <v>6.2800921080175848E-2</v>
      </c>
      <c r="AC30" s="97">
        <v>2</v>
      </c>
      <c r="AD30" s="97">
        <v>0</v>
      </c>
      <c r="AE30" s="97">
        <v>0</v>
      </c>
      <c r="AF30" s="97">
        <v>2</v>
      </c>
      <c r="AG30" s="97">
        <v>0</v>
      </c>
      <c r="AH30" s="97">
        <f t="shared" si="28"/>
        <v>4</v>
      </c>
      <c r="AI30" s="101">
        <v>0</v>
      </c>
      <c r="AJ30" s="101">
        <v>0</v>
      </c>
      <c r="AK30" s="101">
        <v>0</v>
      </c>
      <c r="AL30" s="101">
        <v>1</v>
      </c>
      <c r="AM30" s="101">
        <v>1</v>
      </c>
      <c r="AN30" s="97">
        <f t="shared" si="29"/>
        <v>2</v>
      </c>
      <c r="AO30" s="101">
        <v>8</v>
      </c>
      <c r="AP30" s="101">
        <v>2</v>
      </c>
      <c r="AQ30" s="101">
        <v>5</v>
      </c>
      <c r="AR30" s="101">
        <v>5</v>
      </c>
      <c r="AS30" s="101">
        <v>3</v>
      </c>
      <c r="AT30" s="97">
        <f t="shared" si="30"/>
        <v>23</v>
      </c>
    </row>
    <row r="31" spans="1:46" ht="14.4" thickBot="1" x14ac:dyDescent="0.3">
      <c r="A31" s="89" t="s">
        <v>17</v>
      </c>
      <c r="B31" s="97">
        <v>7611</v>
      </c>
      <c r="C31" s="97">
        <v>3985</v>
      </c>
      <c r="D31" s="97">
        <v>8454</v>
      </c>
      <c r="E31" s="97">
        <v>7609</v>
      </c>
      <c r="F31" s="97">
        <v>6265</v>
      </c>
      <c r="G31" s="98">
        <f t="shared" si="31"/>
        <v>33924</v>
      </c>
      <c r="H31" s="97">
        <v>3</v>
      </c>
      <c r="I31" s="97">
        <v>0</v>
      </c>
      <c r="J31" s="97">
        <v>6</v>
      </c>
      <c r="K31" s="97">
        <v>8</v>
      </c>
      <c r="L31" s="97">
        <v>1</v>
      </c>
      <c r="M31" s="97">
        <f t="shared" si="26"/>
        <v>18</v>
      </c>
      <c r="N31" s="99">
        <f t="shared" si="8"/>
        <v>5.305978068623983E-2</v>
      </c>
      <c r="O31" s="97">
        <v>6</v>
      </c>
      <c r="P31" s="97">
        <v>7</v>
      </c>
      <c r="Q31" s="97">
        <v>9</v>
      </c>
      <c r="R31" s="97">
        <v>5</v>
      </c>
      <c r="S31" s="97">
        <v>4</v>
      </c>
      <c r="T31" s="97">
        <f t="shared" si="32"/>
        <v>31</v>
      </c>
      <c r="U31" s="99">
        <f t="shared" si="3"/>
        <v>9.1380733404079706E-2</v>
      </c>
      <c r="V31" s="97">
        <v>7</v>
      </c>
      <c r="W31" s="97">
        <v>1</v>
      </c>
      <c r="X31" s="97">
        <v>1</v>
      </c>
      <c r="Y31" s="97">
        <v>2</v>
      </c>
      <c r="Z31" s="97">
        <v>0</v>
      </c>
      <c r="AA31" s="97">
        <f t="shared" si="27"/>
        <v>11</v>
      </c>
      <c r="AB31" s="99">
        <f t="shared" si="4"/>
        <v>3.2425421530479899E-2</v>
      </c>
      <c r="AC31" s="97">
        <v>1</v>
      </c>
      <c r="AD31" s="97">
        <v>3</v>
      </c>
      <c r="AE31" s="97">
        <v>2</v>
      </c>
      <c r="AF31" s="97">
        <v>0</v>
      </c>
      <c r="AG31" s="97">
        <v>0</v>
      </c>
      <c r="AH31" s="97">
        <f t="shared" si="28"/>
        <v>6</v>
      </c>
      <c r="AI31" s="101">
        <v>0</v>
      </c>
      <c r="AJ31" s="101">
        <v>0</v>
      </c>
      <c r="AK31" s="101">
        <v>0</v>
      </c>
      <c r="AL31" s="101">
        <v>0</v>
      </c>
      <c r="AM31" s="101">
        <v>0</v>
      </c>
      <c r="AN31" s="97">
        <f t="shared" si="29"/>
        <v>0</v>
      </c>
      <c r="AO31" s="101">
        <v>35</v>
      </c>
      <c r="AP31" s="101">
        <v>34</v>
      </c>
      <c r="AQ31" s="101">
        <v>99</v>
      </c>
      <c r="AR31" s="101">
        <v>22</v>
      </c>
      <c r="AS31" s="101">
        <v>23</v>
      </c>
      <c r="AT31" s="97">
        <f t="shared" si="30"/>
        <v>213</v>
      </c>
    </row>
    <row r="32" spans="1:46" ht="14.4" thickBot="1" x14ac:dyDescent="0.3">
      <c r="A32" s="89" t="s">
        <v>18</v>
      </c>
      <c r="B32" s="97">
        <v>2242</v>
      </c>
      <c r="C32" s="97">
        <v>1469</v>
      </c>
      <c r="D32" s="97">
        <v>1851</v>
      </c>
      <c r="E32" s="97">
        <v>1719</v>
      </c>
      <c r="F32" s="97">
        <v>2928</v>
      </c>
      <c r="G32" s="98">
        <f t="shared" si="31"/>
        <v>10209</v>
      </c>
      <c r="H32" s="97">
        <v>2</v>
      </c>
      <c r="I32" s="97">
        <v>1</v>
      </c>
      <c r="J32" s="97">
        <v>2</v>
      </c>
      <c r="K32" s="97">
        <v>2</v>
      </c>
      <c r="L32" s="97">
        <v>1</v>
      </c>
      <c r="M32" s="97">
        <f t="shared" si="26"/>
        <v>8</v>
      </c>
      <c r="N32" s="99">
        <f t="shared" si="8"/>
        <v>7.8362229405426587E-2</v>
      </c>
      <c r="O32" s="97">
        <v>4</v>
      </c>
      <c r="P32" s="97">
        <v>6</v>
      </c>
      <c r="Q32" s="97">
        <v>1</v>
      </c>
      <c r="R32" s="97">
        <v>5</v>
      </c>
      <c r="S32" s="97">
        <v>4</v>
      </c>
      <c r="T32" s="97">
        <f t="shared" si="32"/>
        <v>20</v>
      </c>
      <c r="U32" s="99">
        <f t="shared" si="3"/>
        <v>0.19590557351356647</v>
      </c>
      <c r="V32" s="97">
        <v>4</v>
      </c>
      <c r="W32" s="97">
        <v>0</v>
      </c>
      <c r="X32" s="97">
        <v>1</v>
      </c>
      <c r="Y32" s="97">
        <v>2</v>
      </c>
      <c r="Z32" s="97">
        <v>1</v>
      </c>
      <c r="AA32" s="97">
        <f t="shared" si="27"/>
        <v>8</v>
      </c>
      <c r="AB32" s="99">
        <f t="shared" si="4"/>
        <v>7.8362229405426587E-2</v>
      </c>
      <c r="AC32" s="97">
        <v>3</v>
      </c>
      <c r="AD32" s="97">
        <v>2</v>
      </c>
      <c r="AE32" s="97">
        <v>1</v>
      </c>
      <c r="AF32" s="97">
        <v>2</v>
      </c>
      <c r="AG32" s="97">
        <v>0</v>
      </c>
      <c r="AH32" s="97">
        <f t="shared" si="28"/>
        <v>8</v>
      </c>
      <c r="AI32" s="101">
        <v>0</v>
      </c>
      <c r="AJ32" s="101">
        <v>0</v>
      </c>
      <c r="AK32" s="101">
        <v>0</v>
      </c>
      <c r="AL32" s="101">
        <v>1</v>
      </c>
      <c r="AM32" s="101">
        <v>1</v>
      </c>
      <c r="AN32" s="97">
        <f t="shared" si="29"/>
        <v>2</v>
      </c>
      <c r="AO32" s="101">
        <v>13</v>
      </c>
      <c r="AP32" s="101">
        <v>6</v>
      </c>
      <c r="AQ32" s="101">
        <v>12</v>
      </c>
      <c r="AR32" s="101">
        <v>9</v>
      </c>
      <c r="AS32" s="101">
        <v>6</v>
      </c>
      <c r="AT32" s="97">
        <f t="shared" si="30"/>
        <v>46</v>
      </c>
    </row>
    <row r="33" spans="1:46" ht="14.4" thickBot="1" x14ac:dyDescent="0.3">
      <c r="A33" s="89" t="s">
        <v>19</v>
      </c>
      <c r="B33" s="97">
        <v>10579</v>
      </c>
      <c r="C33" s="97">
        <v>5694</v>
      </c>
      <c r="D33" s="97">
        <v>12275</v>
      </c>
      <c r="E33" s="97">
        <v>10726</v>
      </c>
      <c r="F33" s="97">
        <v>7237</v>
      </c>
      <c r="G33" s="98">
        <f t="shared" si="31"/>
        <v>46511</v>
      </c>
      <c r="H33" s="97">
        <v>24</v>
      </c>
      <c r="I33" s="97">
        <v>14</v>
      </c>
      <c r="J33" s="97">
        <v>45</v>
      </c>
      <c r="K33" s="97">
        <v>31</v>
      </c>
      <c r="L33" s="97">
        <v>8</v>
      </c>
      <c r="M33" s="97">
        <f t="shared" si="26"/>
        <v>122</v>
      </c>
      <c r="N33" s="99">
        <f t="shared" si="8"/>
        <v>0.26230354109780479</v>
      </c>
      <c r="O33" s="97">
        <v>29</v>
      </c>
      <c r="P33" s="97">
        <v>29</v>
      </c>
      <c r="Q33" s="97">
        <v>45</v>
      </c>
      <c r="R33" s="97">
        <v>40</v>
      </c>
      <c r="S33" s="97">
        <v>10</v>
      </c>
      <c r="T33" s="97">
        <f t="shared" si="32"/>
        <v>153</v>
      </c>
      <c r="U33" s="99">
        <f t="shared" si="3"/>
        <v>0.32895444088495196</v>
      </c>
      <c r="V33" s="97">
        <v>6</v>
      </c>
      <c r="W33" s="97">
        <v>1</v>
      </c>
      <c r="X33" s="97">
        <v>14</v>
      </c>
      <c r="Y33" s="97">
        <v>12</v>
      </c>
      <c r="Z33" s="97">
        <v>2</v>
      </c>
      <c r="AA33" s="97">
        <f t="shared" si="27"/>
        <v>35</v>
      </c>
      <c r="AB33" s="99">
        <f t="shared" si="4"/>
        <v>7.5251015888714495E-2</v>
      </c>
      <c r="AC33" s="97">
        <v>23</v>
      </c>
      <c r="AD33" s="97">
        <v>15</v>
      </c>
      <c r="AE33" s="97">
        <v>24</v>
      </c>
      <c r="AF33" s="97">
        <v>9</v>
      </c>
      <c r="AG33" s="97">
        <v>3</v>
      </c>
      <c r="AH33" s="97">
        <f t="shared" si="28"/>
        <v>74</v>
      </c>
      <c r="AI33" s="101">
        <v>0</v>
      </c>
      <c r="AJ33" s="101">
        <v>4</v>
      </c>
      <c r="AK33" s="101">
        <v>6</v>
      </c>
      <c r="AL33" s="101">
        <v>2</v>
      </c>
      <c r="AM33" s="101">
        <v>0</v>
      </c>
      <c r="AN33" s="97">
        <f t="shared" si="29"/>
        <v>12</v>
      </c>
      <c r="AO33" s="101">
        <v>49</v>
      </c>
      <c r="AP33" s="101">
        <v>48</v>
      </c>
      <c r="AQ33" s="101">
        <v>256</v>
      </c>
      <c r="AR33" s="101">
        <v>75</v>
      </c>
      <c r="AS33" s="101">
        <v>46</v>
      </c>
      <c r="AT33" s="97">
        <f t="shared" si="30"/>
        <v>474</v>
      </c>
    </row>
    <row r="34" spans="1:46" ht="14.4" thickBot="1" x14ac:dyDescent="0.3">
      <c r="A34" s="89" t="s">
        <v>20</v>
      </c>
      <c r="B34" s="97">
        <v>8075</v>
      </c>
      <c r="C34" s="97">
        <v>4167</v>
      </c>
      <c r="D34" s="97">
        <v>9001</v>
      </c>
      <c r="E34" s="97">
        <v>8377</v>
      </c>
      <c r="F34" s="97">
        <v>5155</v>
      </c>
      <c r="G34" s="98">
        <f t="shared" si="31"/>
        <v>34775</v>
      </c>
      <c r="H34" s="97">
        <v>14</v>
      </c>
      <c r="I34" s="97">
        <v>5</v>
      </c>
      <c r="J34" s="97">
        <v>16</v>
      </c>
      <c r="K34" s="97">
        <v>19</v>
      </c>
      <c r="L34" s="97">
        <v>1</v>
      </c>
      <c r="M34" s="97">
        <f t="shared" si="26"/>
        <v>55</v>
      </c>
      <c r="N34" s="99">
        <f t="shared" si="8"/>
        <v>0.15815959741193386</v>
      </c>
      <c r="O34" s="97">
        <v>15</v>
      </c>
      <c r="P34" s="97">
        <v>7</v>
      </c>
      <c r="Q34" s="97">
        <v>23</v>
      </c>
      <c r="R34" s="97">
        <v>41</v>
      </c>
      <c r="S34" s="97">
        <v>6</v>
      </c>
      <c r="T34" s="97">
        <f t="shared" si="32"/>
        <v>92</v>
      </c>
      <c r="U34" s="99">
        <f t="shared" si="3"/>
        <v>0.26455787203450754</v>
      </c>
      <c r="V34" s="97">
        <v>9</v>
      </c>
      <c r="W34" s="97">
        <v>1</v>
      </c>
      <c r="X34" s="97">
        <v>8</v>
      </c>
      <c r="Y34" s="97">
        <v>9</v>
      </c>
      <c r="Z34" s="97">
        <v>8</v>
      </c>
      <c r="AA34" s="97">
        <f t="shared" si="27"/>
        <v>35</v>
      </c>
      <c r="AB34" s="99">
        <f t="shared" si="4"/>
        <v>0.100647016534867</v>
      </c>
      <c r="AC34" s="97">
        <v>11</v>
      </c>
      <c r="AD34" s="97">
        <v>7</v>
      </c>
      <c r="AE34" s="97">
        <v>12</v>
      </c>
      <c r="AF34" s="97">
        <v>6</v>
      </c>
      <c r="AG34" s="97">
        <v>0</v>
      </c>
      <c r="AH34" s="97">
        <f t="shared" si="28"/>
        <v>36</v>
      </c>
      <c r="AI34" s="101">
        <v>0</v>
      </c>
      <c r="AJ34" s="101">
        <v>4</v>
      </c>
      <c r="AK34" s="101">
        <v>2</v>
      </c>
      <c r="AL34" s="101">
        <v>0</v>
      </c>
      <c r="AM34" s="101">
        <v>1</v>
      </c>
      <c r="AN34" s="97">
        <f t="shared" si="29"/>
        <v>7</v>
      </c>
      <c r="AO34" s="101">
        <v>41</v>
      </c>
      <c r="AP34" s="101">
        <v>49</v>
      </c>
      <c r="AQ34" s="101">
        <v>146</v>
      </c>
      <c r="AR34" s="101">
        <v>54</v>
      </c>
      <c r="AS34" s="101">
        <v>55</v>
      </c>
      <c r="AT34" s="97">
        <f t="shared" si="30"/>
        <v>345</v>
      </c>
    </row>
    <row r="35" spans="1:46" ht="14.4" thickBot="1" x14ac:dyDescent="0.3">
      <c r="A35" s="89" t="s">
        <v>25</v>
      </c>
      <c r="B35" s="97">
        <v>41</v>
      </c>
      <c r="C35" s="97">
        <v>31</v>
      </c>
      <c r="D35" s="97">
        <v>49</v>
      </c>
      <c r="E35" s="97">
        <v>84</v>
      </c>
      <c r="F35" s="97">
        <v>17</v>
      </c>
      <c r="G35" s="98">
        <f t="shared" si="31"/>
        <v>222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f t="shared" si="26"/>
        <v>0</v>
      </c>
      <c r="N35" s="99">
        <f t="shared" si="8"/>
        <v>0</v>
      </c>
      <c r="O35" s="97">
        <v>2</v>
      </c>
      <c r="P35" s="97">
        <v>2</v>
      </c>
      <c r="Q35" s="97">
        <v>0</v>
      </c>
      <c r="R35" s="97">
        <v>0</v>
      </c>
      <c r="S35" s="97">
        <v>1</v>
      </c>
      <c r="T35" s="97">
        <f t="shared" si="32"/>
        <v>5</v>
      </c>
      <c r="U35" s="99">
        <f t="shared" si="3"/>
        <v>2.2522522522522523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f t="shared" si="27"/>
        <v>0</v>
      </c>
      <c r="AB35" s="99">
        <f t="shared" si="4"/>
        <v>0</v>
      </c>
      <c r="AC35" s="97">
        <v>1</v>
      </c>
      <c r="AD35" s="97">
        <v>0</v>
      </c>
      <c r="AE35" s="97">
        <v>0</v>
      </c>
      <c r="AF35" s="97">
        <v>0</v>
      </c>
      <c r="AG35" s="97">
        <v>0</v>
      </c>
      <c r="AH35" s="97">
        <f t="shared" si="28"/>
        <v>1</v>
      </c>
      <c r="AI35" s="101">
        <v>0</v>
      </c>
      <c r="AJ35" s="101">
        <v>0</v>
      </c>
      <c r="AK35" s="101">
        <v>0</v>
      </c>
      <c r="AL35" s="101">
        <v>0</v>
      </c>
      <c r="AM35" s="101">
        <v>0</v>
      </c>
      <c r="AN35" s="97">
        <f t="shared" si="29"/>
        <v>0</v>
      </c>
      <c r="AO35" s="101">
        <v>0</v>
      </c>
      <c r="AP35" s="101">
        <v>3</v>
      </c>
      <c r="AQ35" s="101">
        <v>27</v>
      </c>
      <c r="AR35" s="101">
        <v>0</v>
      </c>
      <c r="AS35" s="101">
        <v>1</v>
      </c>
      <c r="AT35" s="97">
        <f t="shared" si="30"/>
        <v>31</v>
      </c>
    </row>
    <row r="36" spans="1:46" ht="14.4" thickBot="1" x14ac:dyDescent="0.3">
      <c r="A36" s="89" t="s">
        <v>26</v>
      </c>
      <c r="B36" s="97">
        <v>69969</v>
      </c>
      <c r="C36" s="97">
        <v>42322</v>
      </c>
      <c r="D36" s="97">
        <v>91057</v>
      </c>
      <c r="E36" s="97">
        <v>84210</v>
      </c>
      <c r="F36" s="97">
        <v>56090</v>
      </c>
      <c r="G36" s="98">
        <f t="shared" si="31"/>
        <v>343648</v>
      </c>
      <c r="H36" s="97">
        <v>102</v>
      </c>
      <c r="I36" s="97">
        <v>38</v>
      </c>
      <c r="J36" s="97">
        <v>129</v>
      </c>
      <c r="K36" s="97">
        <v>123</v>
      </c>
      <c r="L36" s="97">
        <v>55</v>
      </c>
      <c r="M36" s="97">
        <f t="shared" si="26"/>
        <v>447</v>
      </c>
      <c r="N36" s="99">
        <f t="shared" si="8"/>
        <v>0.13007496042462055</v>
      </c>
      <c r="O36" s="97">
        <v>145</v>
      </c>
      <c r="P36" s="97">
        <v>72</v>
      </c>
      <c r="Q36" s="97">
        <v>247</v>
      </c>
      <c r="R36" s="97">
        <v>152</v>
      </c>
      <c r="S36" s="97">
        <v>104</v>
      </c>
      <c r="T36" s="97">
        <f t="shared" si="32"/>
        <v>720</v>
      </c>
      <c r="U36" s="99">
        <f t="shared" si="3"/>
        <v>0.20951671477791228</v>
      </c>
      <c r="V36" s="97">
        <v>51</v>
      </c>
      <c r="W36" s="97">
        <v>22</v>
      </c>
      <c r="X36" s="97">
        <v>95</v>
      </c>
      <c r="Y36" s="97">
        <v>32</v>
      </c>
      <c r="Z36" s="97">
        <v>30</v>
      </c>
      <c r="AA36" s="97">
        <f t="shared" si="27"/>
        <v>230</v>
      </c>
      <c r="AB36" s="99">
        <f t="shared" si="4"/>
        <v>6.6928950554055316E-2</v>
      </c>
      <c r="AC36" s="148">
        <v>42</v>
      </c>
      <c r="AD36" s="148">
        <v>34</v>
      </c>
      <c r="AE36" s="148">
        <v>61</v>
      </c>
      <c r="AF36" s="148">
        <v>36</v>
      </c>
      <c r="AG36" s="148">
        <v>8</v>
      </c>
      <c r="AH36" s="148">
        <f t="shared" si="28"/>
        <v>181</v>
      </c>
      <c r="AI36" s="149">
        <v>3</v>
      </c>
      <c r="AJ36" s="149">
        <v>16</v>
      </c>
      <c r="AK36" s="149">
        <v>20</v>
      </c>
      <c r="AL36" s="149">
        <v>6</v>
      </c>
      <c r="AM36" s="149">
        <v>1</v>
      </c>
      <c r="AN36" s="148">
        <f t="shared" si="29"/>
        <v>46</v>
      </c>
      <c r="AO36" s="149">
        <v>505</v>
      </c>
      <c r="AP36" s="149">
        <v>429</v>
      </c>
      <c r="AQ36" s="149">
        <v>1230</v>
      </c>
      <c r="AR36" s="149">
        <v>551</v>
      </c>
      <c r="AS36" s="149">
        <v>431</v>
      </c>
      <c r="AT36" s="148">
        <f t="shared" si="30"/>
        <v>3146</v>
      </c>
    </row>
    <row r="37" spans="1:46" s="132" customFormat="1" ht="14.4" thickBot="1" x14ac:dyDescent="0.3">
      <c r="A37" s="128" t="s">
        <v>21</v>
      </c>
      <c r="B37" s="111">
        <f t="shared" ref="B37:L37" si="33">SUM(B28:B36)</f>
        <v>104656</v>
      </c>
      <c r="C37" s="111">
        <f t="shared" si="33"/>
        <v>61065</v>
      </c>
      <c r="D37" s="111">
        <f t="shared" si="33"/>
        <v>128890</v>
      </c>
      <c r="E37" s="111">
        <f t="shared" si="33"/>
        <v>118647</v>
      </c>
      <c r="F37" s="111">
        <f t="shared" si="33"/>
        <v>83108</v>
      </c>
      <c r="G37" s="102">
        <f t="shared" ref="G37" si="34">SUM(G28:G36)</f>
        <v>496366</v>
      </c>
      <c r="H37" s="111">
        <f t="shared" si="33"/>
        <v>155</v>
      </c>
      <c r="I37" s="111">
        <f t="shared" si="33"/>
        <v>62</v>
      </c>
      <c r="J37" s="111">
        <f t="shared" si="33"/>
        <v>218</v>
      </c>
      <c r="K37" s="111">
        <f t="shared" si="33"/>
        <v>198</v>
      </c>
      <c r="L37" s="111">
        <f t="shared" si="33"/>
        <v>73</v>
      </c>
      <c r="M37" s="103">
        <f t="shared" ref="M37" si="35">SUM(M28:M36)</f>
        <v>706</v>
      </c>
      <c r="N37" s="104">
        <f t="shared" si="8"/>
        <v>0.14223375493083731</v>
      </c>
      <c r="O37" s="111">
        <f>SUM(O28:O36)</f>
        <v>214</v>
      </c>
      <c r="P37" s="111">
        <f>SUM(P28:P36)</f>
        <v>136</v>
      </c>
      <c r="Q37" s="111">
        <f>SUM(Q28:Q36)</f>
        <v>341</v>
      </c>
      <c r="R37" s="111">
        <f>SUM(R28:R36)</f>
        <v>260</v>
      </c>
      <c r="S37" s="111">
        <f>SUM(S28:S36)</f>
        <v>140</v>
      </c>
      <c r="T37" s="103">
        <f t="shared" ref="T37" si="36">SUM(T28:T36)</f>
        <v>1091</v>
      </c>
      <c r="U37" s="104">
        <f t="shared" si="3"/>
        <v>0.21979748814382935</v>
      </c>
      <c r="V37" s="111">
        <f>SUM(V28:V36)</f>
        <v>79</v>
      </c>
      <c r="W37" s="111">
        <f>SUM(W28:W36)</f>
        <v>28</v>
      </c>
      <c r="X37" s="111">
        <f>SUM(X28:X36)</f>
        <v>131</v>
      </c>
      <c r="Y37" s="111">
        <f>SUM(Y28:Y36)</f>
        <v>60</v>
      </c>
      <c r="Z37" s="111">
        <f>SUM(Z28:Z36)</f>
        <v>45</v>
      </c>
      <c r="AA37" s="103">
        <f t="shared" ref="AA37" si="37">SUM(AA28:AA36)</f>
        <v>343</v>
      </c>
      <c r="AB37" s="104">
        <f t="shared" si="4"/>
        <v>6.9102235044301991E-2</v>
      </c>
      <c r="AC37" s="111">
        <f>SUM(AC28:AC36)</f>
        <v>86</v>
      </c>
      <c r="AD37" s="111">
        <f t="shared" ref="AD37:AI37" si="38">SUM(AD28:AD36)</f>
        <v>65</v>
      </c>
      <c r="AE37" s="111">
        <f t="shared" si="38"/>
        <v>104</v>
      </c>
      <c r="AF37" s="111">
        <f t="shared" si="38"/>
        <v>57</v>
      </c>
      <c r="AG37" s="111">
        <f t="shared" si="38"/>
        <v>12</v>
      </c>
      <c r="AH37" s="114">
        <f>SUM(AH28:AH36)</f>
        <v>324</v>
      </c>
      <c r="AI37" s="111">
        <f t="shared" si="38"/>
        <v>5</v>
      </c>
      <c r="AJ37" s="111">
        <f t="shared" ref="AJ37" si="39">SUM(AJ28:AJ36)</f>
        <v>29</v>
      </c>
      <c r="AK37" s="111">
        <f t="shared" ref="AK37" si="40">SUM(AK28:AK36)</f>
        <v>29</v>
      </c>
      <c r="AL37" s="111">
        <f t="shared" ref="AL37" si="41">SUM(AL28:AL36)</f>
        <v>12</v>
      </c>
      <c r="AM37" s="111">
        <f t="shared" ref="AM37:AO37" si="42">SUM(AM28:AM36)</f>
        <v>4</v>
      </c>
      <c r="AN37" s="114">
        <f>SUM(AN28:AN36)</f>
        <v>79</v>
      </c>
      <c r="AO37" s="111">
        <f t="shared" si="42"/>
        <v>665</v>
      </c>
      <c r="AP37" s="111">
        <f t="shared" ref="AP37" si="43">SUM(AP28:AP36)</f>
        <v>596</v>
      </c>
      <c r="AQ37" s="111">
        <f t="shared" ref="AQ37" si="44">SUM(AQ28:AQ36)</f>
        <v>1854</v>
      </c>
      <c r="AR37" s="111">
        <f t="shared" ref="AR37" si="45">SUM(AR28:AR36)</f>
        <v>737</v>
      </c>
      <c r="AS37" s="111">
        <f t="shared" ref="AS37" si="46">SUM(AS28:AS36)</f>
        <v>581</v>
      </c>
      <c r="AT37" s="114">
        <f>SUM(AT28:AT36)</f>
        <v>4433</v>
      </c>
    </row>
    <row r="38" spans="1:46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50"/>
      <c r="AJ38" s="150"/>
      <c r="AK38" s="150"/>
      <c r="AL38" s="150"/>
      <c r="AM38" s="150"/>
      <c r="AN38" s="112"/>
      <c r="AO38" s="150"/>
      <c r="AP38" s="150"/>
      <c r="AQ38" s="150"/>
      <c r="AR38" s="150"/>
      <c r="AS38" s="150"/>
      <c r="AT38" s="112"/>
    </row>
    <row r="39" spans="1:46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2"/>
      <c r="AD39" s="112"/>
      <c r="AE39" s="112"/>
      <c r="AF39" s="112"/>
      <c r="AG39" s="112"/>
      <c r="AH39" s="112"/>
      <c r="AI39" s="150"/>
      <c r="AJ39" s="150"/>
      <c r="AK39" s="150"/>
      <c r="AL39" s="150"/>
      <c r="AM39" s="150"/>
      <c r="AN39" s="112"/>
      <c r="AO39" s="150"/>
      <c r="AP39" s="150"/>
      <c r="AQ39" s="150"/>
      <c r="AR39" s="150"/>
      <c r="AS39" s="150"/>
      <c r="AT39" s="112"/>
    </row>
    <row r="40" spans="1:46" ht="14.4" thickBot="1" x14ac:dyDescent="0.3">
      <c r="A40" s="89" t="s">
        <v>40</v>
      </c>
      <c r="B40" s="97">
        <v>121</v>
      </c>
      <c r="C40" s="97">
        <v>88</v>
      </c>
      <c r="D40" s="97">
        <v>121</v>
      </c>
      <c r="E40" s="97">
        <v>101</v>
      </c>
      <c r="F40" s="97">
        <v>53</v>
      </c>
      <c r="G40" s="98">
        <f>SUM(B40:F40)</f>
        <v>484</v>
      </c>
      <c r="H40" s="97">
        <v>2</v>
      </c>
      <c r="I40" s="97">
        <v>0</v>
      </c>
      <c r="J40" s="97">
        <v>11</v>
      </c>
      <c r="K40" s="97">
        <v>0</v>
      </c>
      <c r="L40" s="120">
        <v>0</v>
      </c>
      <c r="M40" s="97">
        <f>SUM(H40:L40)</f>
        <v>13</v>
      </c>
      <c r="N40" s="99">
        <f t="shared" si="8"/>
        <v>2.6859504132231407</v>
      </c>
      <c r="O40" s="97">
        <v>3</v>
      </c>
      <c r="P40" s="97">
        <v>0</v>
      </c>
      <c r="Q40" s="97">
        <v>1</v>
      </c>
      <c r="R40" s="97">
        <v>2</v>
      </c>
      <c r="S40" s="97">
        <v>0</v>
      </c>
      <c r="T40" s="97">
        <f>SUM(O40:S40)</f>
        <v>6</v>
      </c>
      <c r="U40" s="99">
        <f t="shared" si="3"/>
        <v>1.2396694214876034</v>
      </c>
      <c r="V40" s="133">
        <v>0</v>
      </c>
      <c r="W40" s="133">
        <v>0</v>
      </c>
      <c r="X40" s="133">
        <v>4</v>
      </c>
      <c r="Y40" s="133">
        <v>0</v>
      </c>
      <c r="Z40" s="133">
        <v>0</v>
      </c>
      <c r="AA40" s="101">
        <f>SUM(V40:Z40)</f>
        <v>4</v>
      </c>
      <c r="AB40" s="99">
        <f t="shared" si="4"/>
        <v>0.82644628099173556</v>
      </c>
      <c r="AC40" s="133">
        <v>0</v>
      </c>
      <c r="AD40" s="133">
        <v>0</v>
      </c>
      <c r="AE40" s="133">
        <v>1</v>
      </c>
      <c r="AF40" s="133">
        <v>0</v>
      </c>
      <c r="AG40" s="133">
        <v>0</v>
      </c>
      <c r="AH40" s="97">
        <f>SUM(AC40:AG40)</f>
        <v>1</v>
      </c>
      <c r="AI40" s="101">
        <v>0</v>
      </c>
      <c r="AJ40" s="101">
        <v>0</v>
      </c>
      <c r="AK40" s="101">
        <v>0</v>
      </c>
      <c r="AL40" s="101">
        <v>0</v>
      </c>
      <c r="AM40" s="101">
        <v>0</v>
      </c>
      <c r="AN40" s="97">
        <f>SUM(AI40:AM40)</f>
        <v>0</v>
      </c>
      <c r="AO40" s="101">
        <v>0</v>
      </c>
      <c r="AP40" s="101">
        <v>0</v>
      </c>
      <c r="AQ40" s="101">
        <v>0</v>
      </c>
      <c r="AR40" s="101">
        <v>1</v>
      </c>
      <c r="AS40" s="101">
        <v>1</v>
      </c>
      <c r="AT40" s="97">
        <f>SUM(AO40:AS40)</f>
        <v>2</v>
      </c>
    </row>
    <row r="41" spans="1:46" ht="14.4" thickBot="1" x14ac:dyDescent="0.3">
      <c r="A41" s="89" t="s">
        <v>27</v>
      </c>
      <c r="B41" s="97">
        <v>58988</v>
      </c>
      <c r="C41" s="97">
        <v>45955</v>
      </c>
      <c r="D41" s="109">
        <v>47411</v>
      </c>
      <c r="E41" s="97">
        <v>59413</v>
      </c>
      <c r="F41" s="97">
        <v>64422</v>
      </c>
      <c r="G41" s="98">
        <f>SUM(B41:F41)</f>
        <v>276189</v>
      </c>
      <c r="H41" s="97">
        <v>6</v>
      </c>
      <c r="I41" s="97">
        <v>6</v>
      </c>
      <c r="J41" s="97">
        <v>43</v>
      </c>
      <c r="K41" s="97">
        <v>34</v>
      </c>
      <c r="L41" s="97">
        <v>15</v>
      </c>
      <c r="M41" s="97">
        <f>SUM(H41:L41)</f>
        <v>104</v>
      </c>
      <c r="N41" s="99">
        <f t="shared" si="8"/>
        <v>3.7655373675273093E-2</v>
      </c>
      <c r="O41" s="97">
        <v>15</v>
      </c>
      <c r="P41" s="97">
        <v>26</v>
      </c>
      <c r="Q41" s="97">
        <v>21</v>
      </c>
      <c r="R41" s="97">
        <v>21</v>
      </c>
      <c r="S41" s="97">
        <v>21</v>
      </c>
      <c r="T41" s="97">
        <f>SUM(O41:S41)</f>
        <v>104</v>
      </c>
      <c r="U41" s="99">
        <f t="shared" si="3"/>
        <v>3.7655373675273093E-2</v>
      </c>
      <c r="V41" s="109">
        <v>6</v>
      </c>
      <c r="W41" s="109">
        <v>1</v>
      </c>
      <c r="X41" s="133">
        <v>8</v>
      </c>
      <c r="Y41" s="133">
        <v>20</v>
      </c>
      <c r="Z41" s="133">
        <v>2</v>
      </c>
      <c r="AA41" s="97">
        <f>SUM(V41:Z41)</f>
        <v>37</v>
      </c>
      <c r="AB41" s="99">
        <f t="shared" si="4"/>
        <v>1.339662332677985E-2</v>
      </c>
      <c r="AC41" s="109">
        <v>0</v>
      </c>
      <c r="AD41" s="109">
        <v>6</v>
      </c>
      <c r="AE41" s="133">
        <v>0</v>
      </c>
      <c r="AF41" s="133">
        <v>3</v>
      </c>
      <c r="AG41" s="133">
        <v>1</v>
      </c>
      <c r="AH41" s="97">
        <f>SUM(AC41:AG41)</f>
        <v>10</v>
      </c>
      <c r="AI41" s="101">
        <v>0</v>
      </c>
      <c r="AJ41" s="101">
        <v>4</v>
      </c>
      <c r="AK41" s="101">
        <v>7</v>
      </c>
      <c r="AL41" s="101">
        <v>2</v>
      </c>
      <c r="AM41" s="101">
        <v>2</v>
      </c>
      <c r="AN41" s="97">
        <f>SUM(AI41:AM41)</f>
        <v>15</v>
      </c>
      <c r="AO41" s="101">
        <v>116</v>
      </c>
      <c r="AP41" s="101">
        <v>51</v>
      </c>
      <c r="AQ41" s="101">
        <v>101</v>
      </c>
      <c r="AR41" s="101">
        <v>73</v>
      </c>
      <c r="AS41" s="101">
        <v>14</v>
      </c>
      <c r="AT41" s="97">
        <f>SUM(AO41:AS41)</f>
        <v>355</v>
      </c>
    </row>
    <row r="42" spans="1:46" s="132" customFormat="1" ht="14.4" thickBot="1" x14ac:dyDescent="0.3">
      <c r="A42" s="128" t="s">
        <v>21</v>
      </c>
      <c r="B42" s="111">
        <f t="shared" ref="B42:N42" si="47">SUM(B40:B41)</f>
        <v>59109</v>
      </c>
      <c r="C42" s="111">
        <f t="shared" si="47"/>
        <v>46043</v>
      </c>
      <c r="D42" s="111">
        <f t="shared" si="47"/>
        <v>47532</v>
      </c>
      <c r="E42" s="111">
        <f t="shared" si="47"/>
        <v>59514</v>
      </c>
      <c r="F42" s="111">
        <f t="shared" si="47"/>
        <v>64475</v>
      </c>
      <c r="G42" s="102">
        <f t="shared" si="47"/>
        <v>276673</v>
      </c>
      <c r="H42" s="115">
        <f t="shared" si="47"/>
        <v>8</v>
      </c>
      <c r="I42" s="115">
        <f t="shared" si="47"/>
        <v>6</v>
      </c>
      <c r="J42" s="115">
        <f t="shared" si="47"/>
        <v>54</v>
      </c>
      <c r="K42" s="115">
        <f t="shared" si="47"/>
        <v>34</v>
      </c>
      <c r="L42" s="115">
        <f t="shared" si="47"/>
        <v>15</v>
      </c>
      <c r="M42" s="115">
        <f t="shared" si="47"/>
        <v>117</v>
      </c>
      <c r="N42" s="104">
        <f t="shared" si="47"/>
        <v>2.7236057868984136</v>
      </c>
      <c r="O42" s="111">
        <f t="shared" ref="O42:U42" si="48">SUM(O40:O41)</f>
        <v>18</v>
      </c>
      <c r="P42" s="111">
        <f t="shared" si="48"/>
        <v>26</v>
      </c>
      <c r="Q42" s="111">
        <f t="shared" si="48"/>
        <v>22</v>
      </c>
      <c r="R42" s="111">
        <f t="shared" si="48"/>
        <v>23</v>
      </c>
      <c r="S42" s="111">
        <f t="shared" si="48"/>
        <v>21</v>
      </c>
      <c r="T42" s="115">
        <f t="shared" si="48"/>
        <v>110</v>
      </c>
      <c r="U42" s="104">
        <f t="shared" si="48"/>
        <v>1.2773247951628766</v>
      </c>
      <c r="V42" s="116">
        <f t="shared" ref="V42:AB42" si="49">SUM(V40:V41)</f>
        <v>6</v>
      </c>
      <c r="W42" s="116">
        <f t="shared" si="49"/>
        <v>1</v>
      </c>
      <c r="X42" s="116">
        <f t="shared" si="49"/>
        <v>12</v>
      </c>
      <c r="Y42" s="116">
        <f t="shared" si="49"/>
        <v>20</v>
      </c>
      <c r="Z42" s="116">
        <f t="shared" si="49"/>
        <v>2</v>
      </c>
      <c r="AA42" s="115">
        <f t="shared" si="49"/>
        <v>41</v>
      </c>
      <c r="AB42" s="104">
        <f t="shared" si="49"/>
        <v>0.83984290431851538</v>
      </c>
      <c r="AC42" s="115">
        <f t="shared" ref="AC42:AS42" si="50">SUM(AC40:AC41)</f>
        <v>0</v>
      </c>
      <c r="AD42" s="115">
        <f t="shared" si="50"/>
        <v>6</v>
      </c>
      <c r="AE42" s="115">
        <f t="shared" si="50"/>
        <v>1</v>
      </c>
      <c r="AF42" s="115">
        <f t="shared" si="50"/>
        <v>3</v>
      </c>
      <c r="AG42" s="115">
        <f t="shared" si="50"/>
        <v>1</v>
      </c>
      <c r="AH42" s="115">
        <f t="shared" si="50"/>
        <v>11</v>
      </c>
      <c r="AI42" s="115">
        <f t="shared" si="50"/>
        <v>0</v>
      </c>
      <c r="AJ42" s="115">
        <f t="shared" si="50"/>
        <v>4</v>
      </c>
      <c r="AK42" s="115">
        <f t="shared" si="50"/>
        <v>7</v>
      </c>
      <c r="AL42" s="115">
        <f t="shared" si="50"/>
        <v>2</v>
      </c>
      <c r="AM42" s="115">
        <f t="shared" si="50"/>
        <v>2</v>
      </c>
      <c r="AN42" s="115">
        <f t="shared" si="50"/>
        <v>15</v>
      </c>
      <c r="AO42" s="115">
        <f t="shared" si="50"/>
        <v>116</v>
      </c>
      <c r="AP42" s="115">
        <f t="shared" si="50"/>
        <v>51</v>
      </c>
      <c r="AQ42" s="115">
        <f t="shared" si="50"/>
        <v>101</v>
      </c>
      <c r="AR42" s="115">
        <f t="shared" si="50"/>
        <v>74</v>
      </c>
      <c r="AS42" s="115">
        <f t="shared" si="50"/>
        <v>15</v>
      </c>
      <c r="AT42" s="107">
        <f>SUM(AT40:AT41)</f>
        <v>357</v>
      </c>
    </row>
    <row r="43" spans="1:46" ht="16.2" thickBot="1" x14ac:dyDescent="0.3">
      <c r="A43" s="121" t="s">
        <v>48</v>
      </c>
      <c r="B43" s="138">
        <f>B11+B25+B37+B42</f>
        <v>168534</v>
      </c>
      <c r="C43" s="134">
        <f>C11+C25+C37+C42</f>
        <v>108478</v>
      </c>
      <c r="D43" s="138">
        <f>D11+D25+D37+D42</f>
        <v>181568</v>
      </c>
      <c r="E43" s="134">
        <f>SUM(B43:D43)</f>
        <v>458580</v>
      </c>
      <c r="F43" s="134">
        <f t="shared" ref="F43:M43" si="51">F11+F25+F37+F42</f>
        <v>149738</v>
      </c>
      <c r="G43" s="122">
        <f>G11+G25+G37+G42</f>
        <v>791199</v>
      </c>
      <c r="H43" s="122">
        <f t="shared" si="51"/>
        <v>168</v>
      </c>
      <c r="I43" s="122">
        <f t="shared" si="51"/>
        <v>68</v>
      </c>
      <c r="J43" s="122">
        <f t="shared" si="51"/>
        <v>284</v>
      </c>
      <c r="K43" s="122">
        <f>K11+K25+K37+K42</f>
        <v>245</v>
      </c>
      <c r="L43" s="122">
        <f t="shared" si="51"/>
        <v>93</v>
      </c>
      <c r="M43" s="122">
        <f t="shared" si="51"/>
        <v>858</v>
      </c>
      <c r="N43" s="123">
        <f t="shared" si="8"/>
        <v>0.10844300864889869</v>
      </c>
      <c r="O43" s="122">
        <f t="shared" ref="O43:T43" si="52">O11+O25+O37+O42</f>
        <v>251</v>
      </c>
      <c r="P43" s="122">
        <f t="shared" si="52"/>
        <v>173</v>
      </c>
      <c r="Q43" s="122">
        <f t="shared" si="52"/>
        <v>389</v>
      </c>
      <c r="R43" s="122">
        <f>R11+R25+R37+R42</f>
        <v>319</v>
      </c>
      <c r="S43" s="122">
        <f t="shared" si="52"/>
        <v>166</v>
      </c>
      <c r="T43" s="122">
        <f t="shared" si="52"/>
        <v>1298</v>
      </c>
      <c r="U43" s="123">
        <f t="shared" si="3"/>
        <v>0.16405480795602623</v>
      </c>
      <c r="V43" s="122">
        <f t="shared" ref="V43:AA43" si="53">V11+V25+V37+V42</f>
        <v>90</v>
      </c>
      <c r="W43" s="122">
        <f t="shared" si="53"/>
        <v>33</v>
      </c>
      <c r="X43" s="122">
        <f t="shared" si="53"/>
        <v>157</v>
      </c>
      <c r="Y43" s="122">
        <f t="shared" si="53"/>
        <v>94</v>
      </c>
      <c r="Z43" s="122">
        <f t="shared" si="53"/>
        <v>48</v>
      </c>
      <c r="AA43" s="122">
        <f t="shared" si="53"/>
        <v>422</v>
      </c>
      <c r="AB43" s="123">
        <f t="shared" si="4"/>
        <v>5.3336771153654136E-2</v>
      </c>
      <c r="AC43" s="122">
        <f t="shared" ref="AC43:AT43" si="54">AC11+AC25+AC37+AC42</f>
        <v>90</v>
      </c>
      <c r="AD43" s="122">
        <f t="shared" si="54"/>
        <v>74</v>
      </c>
      <c r="AE43" s="122">
        <f t="shared" si="54"/>
        <v>106</v>
      </c>
      <c r="AF43" s="122">
        <f t="shared" si="54"/>
        <v>64</v>
      </c>
      <c r="AG43" s="122">
        <f t="shared" si="54"/>
        <v>16</v>
      </c>
      <c r="AH43" s="122">
        <f t="shared" si="54"/>
        <v>350</v>
      </c>
      <c r="AI43" s="122">
        <f t="shared" si="54"/>
        <v>8</v>
      </c>
      <c r="AJ43" s="122">
        <f t="shared" si="54"/>
        <v>33</v>
      </c>
      <c r="AK43" s="122">
        <f t="shared" si="54"/>
        <v>40</v>
      </c>
      <c r="AL43" s="122">
        <f t="shared" si="54"/>
        <v>15</v>
      </c>
      <c r="AM43" s="122">
        <f t="shared" si="54"/>
        <v>7</v>
      </c>
      <c r="AN43" s="122">
        <f t="shared" si="54"/>
        <v>103</v>
      </c>
      <c r="AO43" s="122">
        <f t="shared" si="54"/>
        <v>868</v>
      </c>
      <c r="AP43" s="122">
        <f t="shared" si="54"/>
        <v>711</v>
      </c>
      <c r="AQ43" s="122">
        <f t="shared" si="54"/>
        <v>2138</v>
      </c>
      <c r="AR43" s="122">
        <f t="shared" si="54"/>
        <v>904</v>
      </c>
      <c r="AS43" s="122">
        <f t="shared" si="54"/>
        <v>663</v>
      </c>
      <c r="AT43" s="122">
        <f t="shared" si="54"/>
        <v>5284</v>
      </c>
    </row>
    <row r="44" spans="1:46" ht="13.8" x14ac:dyDescent="0.25">
      <c r="A44" s="16"/>
      <c r="B44" s="16"/>
      <c r="C44" s="16"/>
      <c r="D44" s="16"/>
      <c r="E44" s="16"/>
      <c r="F44" s="16"/>
      <c r="G44" s="152"/>
      <c r="H44" s="16"/>
      <c r="I44" s="16"/>
      <c r="J44" s="16"/>
      <c r="K44" s="16"/>
      <c r="L44" s="2"/>
      <c r="M44" s="2"/>
      <c r="N44" s="2"/>
      <c r="AC44" s="112"/>
      <c r="AD44" s="112"/>
      <c r="AE44" s="112"/>
      <c r="AF44" s="112"/>
      <c r="AG44" s="112"/>
      <c r="AH44" s="112"/>
      <c r="AI44" s="150"/>
      <c r="AJ44" s="150"/>
      <c r="AK44" s="150"/>
      <c r="AL44" s="150"/>
      <c r="AM44" s="150"/>
      <c r="AN44" s="112"/>
      <c r="AO44" s="150"/>
      <c r="AP44" s="150"/>
      <c r="AQ44" s="150"/>
      <c r="AR44" s="150"/>
      <c r="AS44" s="150"/>
      <c r="AT44" s="112"/>
    </row>
    <row r="45" spans="1:46" ht="15.6" x14ac:dyDescent="0.25">
      <c r="A45" s="59"/>
      <c r="B45" s="154"/>
      <c r="C45" s="153"/>
      <c r="D45" s="155"/>
      <c r="E45" s="153"/>
      <c r="V45" s="59"/>
      <c r="W45" s="156"/>
      <c r="X45" s="156"/>
      <c r="Y45" s="156"/>
      <c r="Z45" s="59"/>
      <c r="AA45" s="59"/>
      <c r="AC45" s="112"/>
      <c r="AD45" s="112"/>
      <c r="AE45" s="112"/>
      <c r="AF45" s="112"/>
      <c r="AG45" s="112"/>
      <c r="AH45" s="112"/>
      <c r="AI45" s="150"/>
      <c r="AJ45" s="150"/>
      <c r="AK45" s="150"/>
      <c r="AL45" s="150"/>
      <c r="AM45" s="150"/>
      <c r="AN45" s="112"/>
      <c r="AO45" s="150"/>
      <c r="AP45" s="150"/>
      <c r="AQ45" s="150"/>
      <c r="AR45" s="150"/>
      <c r="AS45" s="150"/>
      <c r="AT45" s="112"/>
    </row>
    <row r="46" spans="1:46" ht="13.8" x14ac:dyDescent="0.25">
      <c r="B46" s="147"/>
      <c r="C46" s="147"/>
      <c r="D46" s="147"/>
      <c r="E46" s="147"/>
      <c r="V46" s="59"/>
      <c r="W46" s="156"/>
      <c r="X46" s="156"/>
      <c r="Y46" s="156"/>
      <c r="Z46" s="59"/>
      <c r="AA46" s="59"/>
      <c r="AC46" s="112"/>
      <c r="AD46" s="112"/>
      <c r="AE46" s="112"/>
      <c r="AF46" s="112"/>
      <c r="AG46" s="112"/>
      <c r="AH46" s="112"/>
      <c r="AI46" s="150"/>
      <c r="AJ46" s="150"/>
      <c r="AK46" s="150"/>
      <c r="AL46" s="150"/>
      <c r="AM46" s="150"/>
      <c r="AN46" s="112"/>
      <c r="AO46" s="150"/>
      <c r="AP46" s="150"/>
      <c r="AQ46" s="150"/>
      <c r="AR46" s="150"/>
      <c r="AS46" s="150"/>
      <c r="AT46" s="112"/>
    </row>
    <row r="47" spans="1:46" x14ac:dyDescent="0.25">
      <c r="B47" s="147"/>
      <c r="C47" s="147"/>
      <c r="D47" s="147"/>
      <c r="E47" s="147"/>
      <c r="V47" s="59"/>
      <c r="W47" s="157"/>
      <c r="X47" s="157"/>
      <c r="Y47" s="157"/>
      <c r="Z47" s="59"/>
      <c r="AA47" s="59"/>
    </row>
    <row r="48" spans="1:46" ht="13.8" x14ac:dyDescent="0.25">
      <c r="V48" s="59"/>
      <c r="W48" s="158"/>
      <c r="X48" s="158"/>
      <c r="Y48" s="158"/>
      <c r="Z48" s="59"/>
      <c r="AA48" s="59"/>
      <c r="AC48" s="112"/>
      <c r="AD48" s="112"/>
      <c r="AE48" s="112"/>
      <c r="AF48" s="112"/>
      <c r="AG48" s="112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</row>
    <row r="49" spans="22:46" ht="13.8" x14ac:dyDescent="0.25">
      <c r="V49" s="59"/>
      <c r="W49" s="158"/>
      <c r="X49" s="158"/>
      <c r="Y49" s="158"/>
      <c r="Z49" s="59"/>
      <c r="AA49" s="59"/>
      <c r="AC49" s="113"/>
      <c r="AD49" s="113"/>
      <c r="AE49" s="113"/>
      <c r="AF49" s="113"/>
      <c r="AG49" s="113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</row>
    <row r="50" spans="22:46" ht="13.8" x14ac:dyDescent="0.25">
      <c r="V50" s="59"/>
      <c r="W50" s="158"/>
      <c r="X50" s="158"/>
      <c r="Y50" s="158"/>
      <c r="Z50" s="59"/>
      <c r="AA50" s="59"/>
    </row>
    <row r="51" spans="22:46" ht="13.8" x14ac:dyDescent="0.25">
      <c r="V51" s="59"/>
      <c r="W51" s="158"/>
      <c r="X51" s="158"/>
      <c r="Y51" s="158"/>
      <c r="Z51" s="59"/>
      <c r="AA51" s="59"/>
    </row>
    <row r="52" spans="22:46" ht="13.8" x14ac:dyDescent="0.25">
      <c r="V52" s="59"/>
      <c r="W52" s="158"/>
      <c r="X52" s="158"/>
      <c r="Y52" s="158"/>
      <c r="Z52" s="59"/>
      <c r="AA52" s="59"/>
    </row>
    <row r="53" spans="22:46" ht="13.8" x14ac:dyDescent="0.25">
      <c r="V53" s="59"/>
      <c r="W53" s="159"/>
      <c r="X53" s="159"/>
      <c r="Y53" s="159"/>
      <c r="Z53" s="59"/>
      <c r="AA53" s="59"/>
    </row>
    <row r="54" spans="22:46" ht="13.8" x14ac:dyDescent="0.25">
      <c r="V54" s="59"/>
      <c r="W54" s="158"/>
      <c r="X54" s="158"/>
      <c r="Y54" s="158"/>
      <c r="Z54" s="59"/>
      <c r="AA54" s="59"/>
    </row>
    <row r="55" spans="22:46" ht="13.8" x14ac:dyDescent="0.25">
      <c r="V55" s="59"/>
      <c r="W55" s="158"/>
      <c r="X55" s="158"/>
      <c r="Y55" s="158"/>
      <c r="Z55" s="59"/>
      <c r="AA55" s="59"/>
    </row>
    <row r="56" spans="22:46" ht="13.8" x14ac:dyDescent="0.25">
      <c r="V56" s="59"/>
      <c r="W56" s="158"/>
      <c r="X56" s="158"/>
      <c r="Y56" s="158"/>
      <c r="Z56" s="59"/>
      <c r="AA56" s="59"/>
    </row>
    <row r="57" spans="22:46" ht="13.8" x14ac:dyDescent="0.25">
      <c r="V57" s="59"/>
      <c r="W57" s="158"/>
      <c r="X57" s="158"/>
      <c r="Y57" s="158"/>
      <c r="Z57" s="59"/>
      <c r="AA57" s="59"/>
    </row>
    <row r="58" spans="22:46" ht="13.8" x14ac:dyDescent="0.25">
      <c r="V58" s="59"/>
      <c r="W58" s="158"/>
      <c r="X58" s="158"/>
      <c r="Y58" s="158"/>
      <c r="Z58" s="59"/>
      <c r="AA58" s="59"/>
    </row>
    <row r="59" spans="22:46" ht="13.8" x14ac:dyDescent="0.25">
      <c r="V59" s="59"/>
      <c r="W59" s="158"/>
      <c r="X59" s="158"/>
      <c r="Y59" s="158"/>
      <c r="Z59" s="59"/>
      <c r="AA59" s="59"/>
    </row>
    <row r="60" spans="22:46" ht="13.8" x14ac:dyDescent="0.25">
      <c r="V60" s="59"/>
      <c r="W60" s="158"/>
      <c r="X60" s="158"/>
      <c r="Y60" s="158"/>
      <c r="Z60" s="59"/>
      <c r="AA60" s="59"/>
    </row>
    <row r="61" spans="22:46" ht="13.8" x14ac:dyDescent="0.25">
      <c r="V61" s="59"/>
      <c r="W61" s="158"/>
      <c r="X61" s="158"/>
      <c r="Y61" s="158"/>
      <c r="Z61" s="59"/>
      <c r="AA61" s="59"/>
    </row>
    <row r="62" spans="22:46" ht="13.8" x14ac:dyDescent="0.25">
      <c r="V62" s="59"/>
      <c r="W62" s="158"/>
      <c r="X62" s="158"/>
      <c r="Y62" s="158"/>
      <c r="Z62" s="59"/>
      <c r="AA62" s="59"/>
    </row>
    <row r="63" spans="22:46" ht="13.8" x14ac:dyDescent="0.25">
      <c r="V63" s="59"/>
      <c r="W63" s="158"/>
      <c r="X63" s="158"/>
      <c r="Y63" s="158"/>
      <c r="Z63" s="59"/>
      <c r="AA63" s="59"/>
    </row>
    <row r="64" spans="22:46" ht="13.8" x14ac:dyDescent="0.25">
      <c r="V64" s="59"/>
      <c r="W64" s="158"/>
      <c r="X64" s="158"/>
      <c r="Y64" s="158"/>
      <c r="Z64" s="59"/>
      <c r="AA64" s="59"/>
    </row>
    <row r="65" spans="22:27" ht="13.8" x14ac:dyDescent="0.25">
      <c r="V65" s="59"/>
      <c r="W65" s="158"/>
      <c r="X65" s="158"/>
      <c r="Y65" s="158"/>
      <c r="Z65" s="59"/>
      <c r="AA65" s="59"/>
    </row>
    <row r="66" spans="22:27" ht="13.8" x14ac:dyDescent="0.25">
      <c r="V66" s="59"/>
      <c r="W66" s="158"/>
      <c r="X66" s="158"/>
      <c r="Y66" s="158"/>
      <c r="Z66" s="59"/>
      <c r="AA66" s="59"/>
    </row>
    <row r="67" spans="22:27" ht="13.8" x14ac:dyDescent="0.25">
      <c r="V67" s="59"/>
      <c r="W67" s="159"/>
      <c r="X67" s="159"/>
      <c r="Y67" s="159"/>
      <c r="Z67" s="59"/>
      <c r="AA67" s="59"/>
    </row>
    <row r="68" spans="22:27" ht="13.8" x14ac:dyDescent="0.25">
      <c r="V68" s="59"/>
      <c r="W68" s="158"/>
      <c r="X68" s="160"/>
      <c r="Y68" s="158"/>
      <c r="Z68" s="59"/>
      <c r="AA68" s="59"/>
    </row>
    <row r="69" spans="22:27" ht="13.8" x14ac:dyDescent="0.25">
      <c r="V69" s="59"/>
      <c r="W69" s="158"/>
      <c r="X69" s="160"/>
      <c r="Y69" s="158"/>
      <c r="Z69" s="59"/>
      <c r="AA69" s="59"/>
    </row>
    <row r="70" spans="22:27" ht="13.8" x14ac:dyDescent="0.25">
      <c r="V70" s="59"/>
      <c r="W70" s="158"/>
      <c r="X70" s="158"/>
      <c r="Y70" s="158"/>
      <c r="Z70" s="59"/>
      <c r="AA70" s="59"/>
    </row>
    <row r="71" spans="22:27" ht="13.8" x14ac:dyDescent="0.25">
      <c r="V71" s="59"/>
      <c r="W71" s="158"/>
      <c r="X71" s="158"/>
      <c r="Y71" s="158"/>
      <c r="Z71" s="59"/>
      <c r="AA71" s="59"/>
    </row>
    <row r="72" spans="22:27" ht="13.8" x14ac:dyDescent="0.25">
      <c r="V72" s="59"/>
      <c r="W72" s="158"/>
      <c r="X72" s="158"/>
      <c r="Y72" s="158"/>
      <c r="Z72" s="59"/>
      <c r="AA72" s="59"/>
    </row>
    <row r="73" spans="22:27" ht="13.8" x14ac:dyDescent="0.25">
      <c r="V73" s="59"/>
      <c r="W73" s="158"/>
      <c r="X73" s="158"/>
      <c r="Y73" s="158"/>
      <c r="Z73" s="59"/>
      <c r="AA73" s="59"/>
    </row>
    <row r="74" spans="22:27" ht="13.8" x14ac:dyDescent="0.25">
      <c r="V74" s="59"/>
      <c r="W74" s="158"/>
      <c r="X74" s="158"/>
      <c r="Y74" s="158"/>
      <c r="Z74" s="59"/>
      <c r="AA74" s="59"/>
    </row>
    <row r="75" spans="22:27" ht="13.8" x14ac:dyDescent="0.25">
      <c r="V75" s="59"/>
      <c r="W75" s="158"/>
      <c r="X75" s="158"/>
      <c r="Y75" s="158"/>
      <c r="Z75" s="59"/>
      <c r="AA75" s="59"/>
    </row>
    <row r="76" spans="22:27" ht="13.8" x14ac:dyDescent="0.25">
      <c r="V76" s="59"/>
      <c r="W76" s="158"/>
      <c r="X76" s="158"/>
      <c r="Y76" s="158"/>
      <c r="Z76" s="59"/>
      <c r="AA76" s="59"/>
    </row>
    <row r="77" spans="22:27" ht="13.8" x14ac:dyDescent="0.25">
      <c r="V77" s="59"/>
      <c r="W77" s="158"/>
      <c r="X77" s="158"/>
      <c r="Y77" s="158"/>
      <c r="Z77" s="59"/>
      <c r="AA77" s="59"/>
    </row>
    <row r="78" spans="22:27" ht="13.8" x14ac:dyDescent="0.25">
      <c r="V78" s="59"/>
      <c r="W78" s="158"/>
      <c r="X78" s="158"/>
      <c r="Y78" s="161"/>
      <c r="Z78" s="59"/>
      <c r="AA78" s="59"/>
    </row>
    <row r="79" spans="22:27" ht="13.8" x14ac:dyDescent="0.25">
      <c r="V79" s="59"/>
      <c r="W79" s="159"/>
      <c r="X79" s="159"/>
      <c r="Y79" s="119"/>
      <c r="Z79" s="59"/>
      <c r="AA79" s="59"/>
    </row>
    <row r="80" spans="22:27" ht="13.8" x14ac:dyDescent="0.25">
      <c r="V80" s="59"/>
      <c r="W80" s="158"/>
      <c r="X80" s="158"/>
      <c r="Y80" s="158"/>
      <c r="Z80" s="59"/>
      <c r="AA80" s="59"/>
    </row>
    <row r="81" spans="22:27" ht="13.8" x14ac:dyDescent="0.25">
      <c r="V81" s="59"/>
      <c r="W81" s="158"/>
      <c r="X81" s="158"/>
      <c r="Y81" s="158"/>
      <c r="Z81" s="59"/>
      <c r="AA81" s="59"/>
    </row>
    <row r="82" spans="22:27" ht="13.8" x14ac:dyDescent="0.25">
      <c r="V82" s="59"/>
      <c r="W82" s="158"/>
      <c r="X82" s="158"/>
      <c r="Y82" s="158"/>
      <c r="Z82" s="59"/>
      <c r="AA82" s="59"/>
    </row>
    <row r="83" spans="22:27" ht="13.8" x14ac:dyDescent="0.25">
      <c r="V83" s="59"/>
      <c r="W83" s="158"/>
      <c r="X83" s="158"/>
      <c r="Y83" s="158"/>
      <c r="Z83" s="59"/>
      <c r="AA83" s="59"/>
    </row>
    <row r="84" spans="22:27" ht="13.8" x14ac:dyDescent="0.25">
      <c r="V84" s="59"/>
      <c r="W84" s="159"/>
      <c r="X84" s="159"/>
      <c r="Y84" s="159"/>
      <c r="Z84" s="59"/>
      <c r="AA84" s="59"/>
    </row>
    <row r="85" spans="22:27" ht="15.6" x14ac:dyDescent="0.25">
      <c r="V85" s="59"/>
      <c r="W85" s="162"/>
      <c r="X85" s="162"/>
      <c r="Y85" s="162"/>
      <c r="Z85" s="59"/>
      <c r="AA85" s="59"/>
    </row>
    <row r="86" spans="22:27" x14ac:dyDescent="0.25">
      <c r="V86" s="59"/>
      <c r="W86" s="59"/>
      <c r="X86" s="59"/>
      <c r="Y86" s="59"/>
      <c r="Z86" s="59"/>
      <c r="AA86" s="59"/>
    </row>
  </sheetData>
  <mergeCells count="12">
    <mergeCell ref="AC3:AH3"/>
    <mergeCell ref="AI3:AN3"/>
    <mergeCell ref="AO3:AT3"/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1:AJ52"/>
  <sheetViews>
    <sheetView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B43" sqref="B43:G43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6" s="79" customFormat="1" ht="24.6" x14ac:dyDescent="0.4">
      <c r="A1" s="479" t="s">
        <v>93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6" s="79" customFormat="1" ht="18" customHeight="1" thickBot="1" x14ac:dyDescent="0.35"/>
    <row r="3" spans="1:36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  <c r="AF3" s="18"/>
      <c r="AG3" s="19"/>
      <c r="AH3" s="19"/>
      <c r="AI3" s="19"/>
      <c r="AJ3" s="19"/>
    </row>
    <row r="4" spans="1:36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6" ht="14.4" thickBot="1" x14ac:dyDescent="0.3">
      <c r="A6" s="89" t="s">
        <v>1</v>
      </c>
      <c r="B6" s="97">
        <v>129</v>
      </c>
      <c r="C6" s="97">
        <v>32</v>
      </c>
      <c r="D6" s="97">
        <v>73</v>
      </c>
      <c r="E6" s="137">
        <v>63</v>
      </c>
      <c r="F6" s="97">
        <v>41</v>
      </c>
      <c r="G6" s="98">
        <f>SUM(B6:F6)</f>
        <v>338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101">
        <f>SUM(H6:L6)</f>
        <v>0</v>
      </c>
      <c r="N6" s="99">
        <f>M6*100/G6</f>
        <v>0</v>
      </c>
      <c r="O6" s="97">
        <v>1</v>
      </c>
      <c r="P6" s="97">
        <v>1</v>
      </c>
      <c r="Q6" s="97">
        <v>1</v>
      </c>
      <c r="R6" s="97">
        <v>1</v>
      </c>
      <c r="S6" s="97">
        <v>0</v>
      </c>
      <c r="T6" s="101">
        <f>SUM(O6:S6)</f>
        <v>4</v>
      </c>
      <c r="U6" s="99">
        <f>T6*100/G6</f>
        <v>1.1834319526627219</v>
      </c>
      <c r="V6" s="97">
        <v>0</v>
      </c>
      <c r="W6" s="97">
        <v>0</v>
      </c>
      <c r="X6" s="97">
        <v>0</v>
      </c>
      <c r="Y6" s="97">
        <v>1</v>
      </c>
      <c r="Z6" s="97">
        <v>1</v>
      </c>
      <c r="AA6" s="97">
        <f>SUM(V6:Z6)</f>
        <v>2</v>
      </c>
      <c r="AB6" s="99">
        <f>AA6*100/G6</f>
        <v>0.59171597633136097</v>
      </c>
      <c r="AC6" s="101">
        <v>0</v>
      </c>
      <c r="AD6" s="101">
        <v>0</v>
      </c>
      <c r="AE6" s="101">
        <v>12</v>
      </c>
    </row>
    <row r="7" spans="1:36" ht="14.4" thickBot="1" x14ac:dyDescent="0.3">
      <c r="A7" s="90" t="s">
        <v>2</v>
      </c>
      <c r="B7" s="97">
        <v>958</v>
      </c>
      <c r="C7" s="97">
        <v>200</v>
      </c>
      <c r="D7" s="97">
        <v>666</v>
      </c>
      <c r="E7" s="137">
        <v>663</v>
      </c>
      <c r="F7" s="97">
        <v>352</v>
      </c>
      <c r="G7" s="98">
        <f>SUM(B7:F7)</f>
        <v>2839</v>
      </c>
      <c r="H7" s="97">
        <v>2</v>
      </c>
      <c r="I7" s="97">
        <v>1</v>
      </c>
      <c r="J7" s="97">
        <v>4</v>
      </c>
      <c r="K7" s="97">
        <v>0</v>
      </c>
      <c r="L7" s="97">
        <v>1</v>
      </c>
      <c r="M7" s="97">
        <f>SUM(H7:L7)</f>
        <v>8</v>
      </c>
      <c r="N7" s="99">
        <f>M7*100/G7</f>
        <v>0.28178936245156744</v>
      </c>
      <c r="O7" s="97">
        <v>8</v>
      </c>
      <c r="P7" s="97">
        <v>0</v>
      </c>
      <c r="Q7" s="97">
        <v>6</v>
      </c>
      <c r="R7" s="97">
        <v>4</v>
      </c>
      <c r="S7" s="97">
        <v>4</v>
      </c>
      <c r="T7" s="97">
        <f>SUM(O7:S7)</f>
        <v>22</v>
      </c>
      <c r="U7" s="99">
        <f>T7*100/G7</f>
        <v>0.77492074674181055</v>
      </c>
      <c r="V7" s="97">
        <v>4</v>
      </c>
      <c r="W7" s="97">
        <v>0</v>
      </c>
      <c r="X7" s="97">
        <v>1</v>
      </c>
      <c r="Y7" s="97">
        <v>0</v>
      </c>
      <c r="Z7" s="97">
        <v>1</v>
      </c>
      <c r="AA7" s="97">
        <f>SUM(V7:Z7)</f>
        <v>6</v>
      </c>
      <c r="AB7" s="99">
        <f>AA7*100/G7</f>
        <v>0.21134202183867559</v>
      </c>
      <c r="AC7" s="101">
        <v>4</v>
      </c>
      <c r="AD7" s="101">
        <v>2</v>
      </c>
      <c r="AE7" s="101">
        <v>53</v>
      </c>
    </row>
    <row r="8" spans="1:36" ht="14.4" thickBot="1" x14ac:dyDescent="0.3">
      <c r="A8" s="90" t="s">
        <v>14</v>
      </c>
      <c r="B8" s="97">
        <v>98</v>
      </c>
      <c r="C8" s="97">
        <v>46</v>
      </c>
      <c r="D8" s="97">
        <v>81</v>
      </c>
      <c r="E8" s="137">
        <v>116</v>
      </c>
      <c r="F8" s="97">
        <v>43</v>
      </c>
      <c r="G8" s="98">
        <f>SUM(B8:F8)</f>
        <v>384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101">
        <f>SUM(H8:L8)</f>
        <v>0</v>
      </c>
      <c r="N8" s="99">
        <f>M8*100/G8</f>
        <v>0</v>
      </c>
      <c r="O8" s="97">
        <v>0</v>
      </c>
      <c r="P8" s="97">
        <v>0</v>
      </c>
      <c r="Q8" s="97">
        <v>0</v>
      </c>
      <c r="R8" s="97">
        <v>1</v>
      </c>
      <c r="S8" s="97">
        <v>0</v>
      </c>
      <c r="T8" s="101">
        <f>SUM(O8:S8)</f>
        <v>1</v>
      </c>
      <c r="U8" s="99">
        <f t="shared" ref="U8:U43" si="0">T8*100/G8</f>
        <v>0.26041666666666669</v>
      </c>
      <c r="V8" s="97">
        <v>0</v>
      </c>
      <c r="W8" s="97">
        <v>0</v>
      </c>
      <c r="X8" s="97">
        <v>0</v>
      </c>
      <c r="Y8" s="97">
        <v>0</v>
      </c>
      <c r="Z8" s="97">
        <v>0</v>
      </c>
      <c r="AA8" s="97">
        <f>SUM(V8:Z8)</f>
        <v>0</v>
      </c>
      <c r="AB8" s="99">
        <f t="shared" ref="AB8:AB43" si="1">AA8*100/G8</f>
        <v>0</v>
      </c>
      <c r="AC8" s="101">
        <v>0</v>
      </c>
      <c r="AD8" s="101">
        <v>0</v>
      </c>
      <c r="AE8" s="101">
        <v>6</v>
      </c>
    </row>
    <row r="9" spans="1:36" ht="14.4" thickBot="1" x14ac:dyDescent="0.3">
      <c r="A9" s="90" t="s">
        <v>3</v>
      </c>
      <c r="B9" s="97">
        <v>145</v>
      </c>
      <c r="C9" s="97">
        <v>71</v>
      </c>
      <c r="D9" s="97">
        <v>116</v>
      </c>
      <c r="E9" s="137">
        <v>108</v>
      </c>
      <c r="F9" s="97">
        <v>50</v>
      </c>
      <c r="G9" s="98">
        <f>SUM(B9:F9)</f>
        <v>490</v>
      </c>
      <c r="H9" s="97">
        <v>0</v>
      </c>
      <c r="I9" s="97">
        <v>0</v>
      </c>
      <c r="J9" s="97">
        <v>1</v>
      </c>
      <c r="K9" s="97">
        <v>0</v>
      </c>
      <c r="L9" s="97">
        <v>0</v>
      </c>
      <c r="M9" s="97">
        <f>SUM(H9:L9)</f>
        <v>1</v>
      </c>
      <c r="N9" s="99">
        <f>M9*100/G9</f>
        <v>0.20408163265306123</v>
      </c>
      <c r="O9" s="97">
        <v>0</v>
      </c>
      <c r="P9" s="97">
        <v>0</v>
      </c>
      <c r="Q9" s="97">
        <v>0</v>
      </c>
      <c r="R9" s="97">
        <v>1</v>
      </c>
      <c r="S9" s="97">
        <v>0</v>
      </c>
      <c r="T9" s="97">
        <f>SUM(O9:S9)</f>
        <v>1</v>
      </c>
      <c r="U9" s="99">
        <f t="shared" si="0"/>
        <v>0.20408163265306123</v>
      </c>
      <c r="V9" s="97">
        <v>0</v>
      </c>
      <c r="W9" s="97">
        <v>0</v>
      </c>
      <c r="X9" s="97">
        <v>0</v>
      </c>
      <c r="Y9" s="97">
        <v>0</v>
      </c>
      <c r="Z9" s="97">
        <v>1</v>
      </c>
      <c r="AA9" s="97">
        <f>SUM(V9:Z9)</f>
        <v>1</v>
      </c>
      <c r="AB9" s="99">
        <f t="shared" si="1"/>
        <v>0.20408163265306123</v>
      </c>
      <c r="AC9" s="101">
        <v>0</v>
      </c>
      <c r="AD9" s="101">
        <v>0</v>
      </c>
      <c r="AE9" s="101">
        <v>5</v>
      </c>
    </row>
    <row r="10" spans="1:36" ht="23.4" thickBot="1" x14ac:dyDescent="0.3">
      <c r="A10" s="139" t="s">
        <v>23</v>
      </c>
      <c r="B10" s="97">
        <v>993</v>
      </c>
      <c r="C10" s="97">
        <v>293</v>
      </c>
      <c r="D10" s="97">
        <v>772</v>
      </c>
      <c r="E10" s="137">
        <v>774</v>
      </c>
      <c r="F10" s="97">
        <v>369</v>
      </c>
      <c r="G10" s="98">
        <f>SUM(B10:F10)</f>
        <v>3201</v>
      </c>
      <c r="H10" s="97">
        <v>2</v>
      </c>
      <c r="I10" s="97">
        <v>1</v>
      </c>
      <c r="J10" s="97">
        <v>3</v>
      </c>
      <c r="K10" s="97">
        <v>1</v>
      </c>
      <c r="L10" s="97">
        <v>1</v>
      </c>
      <c r="M10" s="97">
        <f>SUM(H10:L10)</f>
        <v>8</v>
      </c>
      <c r="N10" s="99">
        <f>M10*100/G10</f>
        <v>0.2499218994064355</v>
      </c>
      <c r="O10" s="97">
        <v>2</v>
      </c>
      <c r="P10" s="97">
        <v>4</v>
      </c>
      <c r="Q10" s="97">
        <v>3</v>
      </c>
      <c r="R10" s="97">
        <v>8</v>
      </c>
      <c r="S10" s="97">
        <v>1</v>
      </c>
      <c r="T10" s="100">
        <f>SUM(O10:S10)</f>
        <v>18</v>
      </c>
      <c r="U10" s="99">
        <f t="shared" si="0"/>
        <v>0.5623242736644799</v>
      </c>
      <c r="V10" s="97">
        <v>0</v>
      </c>
      <c r="W10" s="97">
        <v>0</v>
      </c>
      <c r="X10" s="97">
        <v>0</v>
      </c>
      <c r="Y10" s="97">
        <v>0</v>
      </c>
      <c r="Z10" s="97">
        <v>3</v>
      </c>
      <c r="AA10" s="97">
        <f>SUM(V10:Z10)</f>
        <v>3</v>
      </c>
      <c r="AB10" s="99">
        <f t="shared" si="1"/>
        <v>9.3720712277413312E-2</v>
      </c>
      <c r="AC10" s="101">
        <v>4</v>
      </c>
      <c r="AD10" s="101">
        <v>1</v>
      </c>
      <c r="AE10" s="101">
        <v>63</v>
      </c>
    </row>
    <row r="11" spans="1:36" s="132" customFormat="1" ht="14.4" thickBot="1" x14ac:dyDescent="0.3">
      <c r="A11" s="124" t="s">
        <v>21</v>
      </c>
      <c r="B11" s="105">
        <f>SUM(B6:B10)</f>
        <v>2323</v>
      </c>
      <c r="C11" s="105">
        <f>SUM(C6:C10)</f>
        <v>642</v>
      </c>
      <c r="D11" s="105">
        <f>SUM(D6:D10)</f>
        <v>1708</v>
      </c>
      <c r="E11" s="105">
        <f>SUM(E6:E10)</f>
        <v>1724</v>
      </c>
      <c r="F11" s="105">
        <f>SUM(F6:F10)</f>
        <v>855</v>
      </c>
      <c r="G11" s="102">
        <f t="shared" ref="G11:M11" si="2">SUM(G6:G10)</f>
        <v>7252</v>
      </c>
      <c r="H11" s="111">
        <f t="shared" si="2"/>
        <v>4</v>
      </c>
      <c r="I11" s="111">
        <f t="shared" si="2"/>
        <v>2</v>
      </c>
      <c r="J11" s="111">
        <f t="shared" si="2"/>
        <v>8</v>
      </c>
      <c r="K11" s="111">
        <f t="shared" si="2"/>
        <v>1</v>
      </c>
      <c r="L11" s="111">
        <f t="shared" si="2"/>
        <v>2</v>
      </c>
      <c r="M11" s="103">
        <f t="shared" si="2"/>
        <v>17</v>
      </c>
      <c r="N11" s="104">
        <f t="shared" ref="N11:N43" si="3">M11*100/G11</f>
        <v>0.2344180915609487</v>
      </c>
      <c r="O11" s="105">
        <f t="shared" ref="O11:T11" si="4">SUM(O6:O10)</f>
        <v>11</v>
      </c>
      <c r="P11" s="105">
        <f t="shared" si="4"/>
        <v>5</v>
      </c>
      <c r="Q11" s="105">
        <f t="shared" si="4"/>
        <v>10</v>
      </c>
      <c r="R11" s="105">
        <f t="shared" si="4"/>
        <v>15</v>
      </c>
      <c r="S11" s="105">
        <f t="shared" si="4"/>
        <v>5</v>
      </c>
      <c r="T11" s="103">
        <f t="shared" si="4"/>
        <v>46</v>
      </c>
      <c r="U11" s="104">
        <f t="shared" si="0"/>
        <v>0.63430777716492004</v>
      </c>
      <c r="V11" s="105">
        <f t="shared" ref="V11:AA11" si="5">SUM(V6:V10)</f>
        <v>4</v>
      </c>
      <c r="W11" s="105">
        <f t="shared" si="5"/>
        <v>0</v>
      </c>
      <c r="X11" s="105">
        <f t="shared" si="5"/>
        <v>1</v>
      </c>
      <c r="Y11" s="105">
        <f t="shared" si="5"/>
        <v>1</v>
      </c>
      <c r="Z11" s="105">
        <f t="shared" si="5"/>
        <v>6</v>
      </c>
      <c r="AA11" s="106">
        <f t="shared" si="5"/>
        <v>12</v>
      </c>
      <c r="AB11" s="104">
        <f t="shared" si="1"/>
        <v>0.16547159404302261</v>
      </c>
      <c r="AC11" s="107">
        <f>SUM(AC6:AC10)</f>
        <v>8</v>
      </c>
      <c r="AD11" s="107">
        <f>SUM(AD6:AD10)</f>
        <v>3</v>
      </c>
      <c r="AE11" s="107">
        <f>SUM(AE6:AE10)</f>
        <v>139</v>
      </c>
    </row>
    <row r="12" spans="1:3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6" ht="14.4" thickBot="1" x14ac:dyDescent="0.3">
      <c r="A14" s="89" t="s">
        <v>4</v>
      </c>
      <c r="B14" s="97">
        <v>26</v>
      </c>
      <c r="C14" s="97">
        <v>4</v>
      </c>
      <c r="D14" s="97">
        <v>30</v>
      </c>
      <c r="E14" s="97">
        <v>33</v>
      </c>
      <c r="F14" s="97">
        <v>14</v>
      </c>
      <c r="G14" s="98">
        <f>SUM(B14:F14)</f>
        <v>107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f>SUM(O14:S14)</f>
        <v>0</v>
      </c>
      <c r="U14" s="99">
        <f t="shared" si="0"/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 t="shared" si="1"/>
        <v>0</v>
      </c>
      <c r="AC14" s="101">
        <v>0</v>
      </c>
      <c r="AD14" s="101">
        <v>0</v>
      </c>
      <c r="AE14" s="101">
        <v>3</v>
      </c>
    </row>
    <row r="15" spans="1:36" ht="14.4" thickBot="1" x14ac:dyDescent="0.3">
      <c r="A15" s="89" t="s">
        <v>5</v>
      </c>
      <c r="B15" s="97">
        <v>193</v>
      </c>
      <c r="C15" s="97">
        <v>34</v>
      </c>
      <c r="D15" s="97">
        <v>176</v>
      </c>
      <c r="E15" s="97">
        <v>289</v>
      </c>
      <c r="F15" s="97">
        <v>89</v>
      </c>
      <c r="G15" s="98">
        <f t="shared" ref="G15:G24" si="6">SUM(B15:F15)</f>
        <v>781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f t="shared" ref="M15:M24" si="7">SUM(H15:L15)</f>
        <v>0</v>
      </c>
      <c r="N15" s="99">
        <f t="shared" si="3"/>
        <v>0</v>
      </c>
      <c r="O15" s="97">
        <v>1</v>
      </c>
      <c r="P15" s="97">
        <v>0</v>
      </c>
      <c r="Q15" s="97">
        <v>4</v>
      </c>
      <c r="R15" s="97">
        <v>5</v>
      </c>
      <c r="S15" s="97">
        <v>0</v>
      </c>
      <c r="T15" s="97">
        <f t="shared" ref="T15:T24" si="8">SUM(O15:S15)</f>
        <v>10</v>
      </c>
      <c r="U15" s="99">
        <f t="shared" si="0"/>
        <v>1.2804097311139564</v>
      </c>
      <c r="V15" s="97">
        <v>0</v>
      </c>
      <c r="W15" s="97">
        <v>0</v>
      </c>
      <c r="X15" s="97">
        <v>0</v>
      </c>
      <c r="Y15" s="97">
        <v>0</v>
      </c>
      <c r="Z15" s="97">
        <v>0</v>
      </c>
      <c r="AA15" s="97">
        <f t="shared" ref="AA15:AA24" si="9">SUM(V15:Z15)</f>
        <v>0</v>
      </c>
      <c r="AB15" s="99">
        <f t="shared" si="1"/>
        <v>0</v>
      </c>
      <c r="AC15" s="101">
        <v>1</v>
      </c>
      <c r="AD15" s="101">
        <v>0</v>
      </c>
      <c r="AE15" s="101">
        <v>20</v>
      </c>
    </row>
    <row r="16" spans="1:36" ht="14.4" thickBot="1" x14ac:dyDescent="0.3">
      <c r="A16" s="89" t="s">
        <v>6</v>
      </c>
      <c r="B16" s="109">
        <v>80</v>
      </c>
      <c r="C16" s="97">
        <v>27</v>
      </c>
      <c r="D16" s="97">
        <v>49</v>
      </c>
      <c r="E16" s="97">
        <v>57</v>
      </c>
      <c r="F16" s="97">
        <v>32</v>
      </c>
      <c r="G16" s="98">
        <f t="shared" si="6"/>
        <v>245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f t="shared" si="7"/>
        <v>0</v>
      </c>
      <c r="N16" s="99">
        <f t="shared" si="3"/>
        <v>0</v>
      </c>
      <c r="O16" s="97">
        <v>0</v>
      </c>
      <c r="P16" s="97">
        <v>0</v>
      </c>
      <c r="Q16" s="97">
        <v>1</v>
      </c>
      <c r="R16" s="97">
        <v>0</v>
      </c>
      <c r="S16" s="97">
        <v>0</v>
      </c>
      <c r="T16" s="97">
        <f t="shared" si="8"/>
        <v>1</v>
      </c>
      <c r="U16" s="99">
        <f t="shared" si="0"/>
        <v>0.40816326530612246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f t="shared" si="9"/>
        <v>0</v>
      </c>
      <c r="AB16" s="99">
        <f t="shared" si="1"/>
        <v>0</v>
      </c>
      <c r="AC16" s="101">
        <v>0</v>
      </c>
      <c r="AD16" s="101">
        <v>0</v>
      </c>
      <c r="AE16" s="101">
        <v>3</v>
      </c>
    </row>
    <row r="17" spans="1:34" ht="14.4" thickBot="1" x14ac:dyDescent="0.3">
      <c r="A17" s="89" t="s">
        <v>7</v>
      </c>
      <c r="B17" s="97">
        <v>36</v>
      </c>
      <c r="C17" s="97">
        <v>19</v>
      </c>
      <c r="D17" s="97">
        <v>37</v>
      </c>
      <c r="E17" s="97">
        <v>28</v>
      </c>
      <c r="F17" s="97">
        <v>27</v>
      </c>
      <c r="G17" s="98">
        <f t="shared" si="6"/>
        <v>147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 t="shared" si="7"/>
        <v>0</v>
      </c>
      <c r="N17" s="99">
        <f t="shared" si="3"/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f t="shared" si="8"/>
        <v>0</v>
      </c>
      <c r="U17" s="99">
        <f t="shared" si="0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101">
        <f t="shared" si="9"/>
        <v>0</v>
      </c>
      <c r="AB17" s="99">
        <f t="shared" si="1"/>
        <v>0</v>
      </c>
      <c r="AC17" s="101">
        <v>0</v>
      </c>
      <c r="AD17" s="101">
        <v>0</v>
      </c>
      <c r="AE17" s="101">
        <v>5</v>
      </c>
    </row>
    <row r="18" spans="1:34" ht="14.4" thickBot="1" x14ac:dyDescent="0.3">
      <c r="A18" s="89" t="s">
        <v>8</v>
      </c>
      <c r="B18" s="97">
        <v>9</v>
      </c>
      <c r="C18" s="97">
        <v>1</v>
      </c>
      <c r="D18" s="97">
        <v>5</v>
      </c>
      <c r="E18" s="97">
        <v>7</v>
      </c>
      <c r="F18" s="97">
        <v>3</v>
      </c>
      <c r="G18" s="98">
        <f t="shared" si="6"/>
        <v>25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 t="shared" si="7"/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f t="shared" si="8"/>
        <v>0</v>
      </c>
      <c r="U18" s="99">
        <f t="shared" si="0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 t="shared" si="9"/>
        <v>0</v>
      </c>
      <c r="AB18" s="99">
        <f t="shared" si="1"/>
        <v>0</v>
      </c>
      <c r="AC18" s="101">
        <v>0</v>
      </c>
      <c r="AD18" s="101">
        <v>0</v>
      </c>
      <c r="AE18" s="101">
        <v>0</v>
      </c>
    </row>
    <row r="19" spans="1:34" ht="14.4" thickBot="1" x14ac:dyDescent="0.3">
      <c r="A19" s="89" t="s">
        <v>9</v>
      </c>
      <c r="B19" s="97">
        <v>19</v>
      </c>
      <c r="C19" s="97">
        <v>10</v>
      </c>
      <c r="D19" s="97">
        <v>14</v>
      </c>
      <c r="E19" s="97">
        <v>17</v>
      </c>
      <c r="F19" s="97">
        <v>7</v>
      </c>
      <c r="G19" s="98">
        <f t="shared" si="6"/>
        <v>67</v>
      </c>
      <c r="H19" s="97">
        <v>1</v>
      </c>
      <c r="I19" s="97">
        <v>0</v>
      </c>
      <c r="J19" s="97">
        <v>1</v>
      </c>
      <c r="K19" s="97">
        <v>1</v>
      </c>
      <c r="L19" s="97">
        <v>0</v>
      </c>
      <c r="M19" s="101">
        <f t="shared" si="7"/>
        <v>3</v>
      </c>
      <c r="N19" s="99">
        <f t="shared" si="3"/>
        <v>4.4776119402985071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8"/>
        <v>0</v>
      </c>
      <c r="U19" s="99">
        <f t="shared" si="0"/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f t="shared" si="9"/>
        <v>0</v>
      </c>
      <c r="AB19" s="99">
        <f t="shared" si="1"/>
        <v>0</v>
      </c>
      <c r="AC19" s="101">
        <v>0</v>
      </c>
      <c r="AD19" s="101">
        <v>0</v>
      </c>
      <c r="AE19" s="101">
        <v>1</v>
      </c>
    </row>
    <row r="20" spans="1:34" ht="14.4" thickBot="1" x14ac:dyDescent="0.3">
      <c r="A20" s="89" t="s">
        <v>10</v>
      </c>
      <c r="B20" s="97">
        <v>14</v>
      </c>
      <c r="C20" s="97">
        <v>6</v>
      </c>
      <c r="D20" s="97">
        <v>11</v>
      </c>
      <c r="E20" s="97">
        <v>21</v>
      </c>
      <c r="F20" s="97">
        <v>1</v>
      </c>
      <c r="G20" s="98">
        <f t="shared" si="6"/>
        <v>53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7"/>
        <v>0</v>
      </c>
      <c r="N20" s="99">
        <f t="shared" si="3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8"/>
        <v>0</v>
      </c>
      <c r="U20" s="99">
        <f t="shared" si="0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9"/>
        <v>0</v>
      </c>
      <c r="AB20" s="99">
        <f t="shared" si="1"/>
        <v>0</v>
      </c>
      <c r="AC20" s="101">
        <v>0</v>
      </c>
      <c r="AD20" s="101">
        <v>0</v>
      </c>
      <c r="AE20" s="101">
        <v>1</v>
      </c>
    </row>
    <row r="21" spans="1:34" ht="14.4" thickBot="1" x14ac:dyDescent="0.3">
      <c r="A21" s="89" t="s">
        <v>11</v>
      </c>
      <c r="B21" s="97">
        <v>74</v>
      </c>
      <c r="C21" s="97">
        <v>4</v>
      </c>
      <c r="D21" s="97">
        <v>63</v>
      </c>
      <c r="E21" s="97">
        <v>90</v>
      </c>
      <c r="F21" s="97">
        <v>39</v>
      </c>
      <c r="G21" s="98">
        <f t="shared" si="6"/>
        <v>270</v>
      </c>
      <c r="H21" s="97">
        <v>0</v>
      </c>
      <c r="I21" s="97">
        <v>0</v>
      </c>
      <c r="J21" s="97">
        <v>2</v>
      </c>
      <c r="K21" s="97">
        <v>1</v>
      </c>
      <c r="L21" s="97">
        <v>0</v>
      </c>
      <c r="M21" s="97">
        <f t="shared" si="7"/>
        <v>3</v>
      </c>
      <c r="N21" s="99">
        <f t="shared" si="3"/>
        <v>1.1111111111111112</v>
      </c>
      <c r="O21" s="97">
        <v>0</v>
      </c>
      <c r="P21" s="97">
        <v>0</v>
      </c>
      <c r="Q21" s="97">
        <v>3</v>
      </c>
      <c r="R21" s="97">
        <v>0</v>
      </c>
      <c r="S21" s="97">
        <v>0</v>
      </c>
      <c r="T21" s="97">
        <f t="shared" si="8"/>
        <v>3</v>
      </c>
      <c r="U21" s="99">
        <f t="shared" si="0"/>
        <v>1.1111111111111112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f t="shared" si="9"/>
        <v>0</v>
      </c>
      <c r="AB21" s="99">
        <f t="shared" si="1"/>
        <v>0</v>
      </c>
      <c r="AC21" s="101">
        <v>0</v>
      </c>
      <c r="AD21" s="101">
        <v>0</v>
      </c>
      <c r="AE21" s="101">
        <v>23</v>
      </c>
    </row>
    <row r="22" spans="1:34" ht="14.4" thickBot="1" x14ac:dyDescent="0.3">
      <c r="A22" s="89" t="s">
        <v>12</v>
      </c>
      <c r="B22" s="97">
        <v>1413</v>
      </c>
      <c r="C22" s="97">
        <v>540</v>
      </c>
      <c r="D22" s="97">
        <v>1488</v>
      </c>
      <c r="E22" s="97">
        <v>1604</v>
      </c>
      <c r="F22" s="97">
        <v>826</v>
      </c>
      <c r="G22" s="98">
        <f t="shared" si="6"/>
        <v>5871</v>
      </c>
      <c r="H22" s="97">
        <v>7</v>
      </c>
      <c r="I22" s="97">
        <v>0</v>
      </c>
      <c r="J22" s="97">
        <v>4</v>
      </c>
      <c r="K22" s="97">
        <v>4</v>
      </c>
      <c r="L22" s="97">
        <v>4</v>
      </c>
      <c r="M22" s="97">
        <f t="shared" si="7"/>
        <v>19</v>
      </c>
      <c r="N22" s="99">
        <f t="shared" si="3"/>
        <v>0.32362459546925565</v>
      </c>
      <c r="O22" s="97">
        <v>2</v>
      </c>
      <c r="P22" s="97">
        <v>3</v>
      </c>
      <c r="Q22" s="97">
        <v>5</v>
      </c>
      <c r="R22" s="97">
        <v>12</v>
      </c>
      <c r="S22" s="97">
        <v>4</v>
      </c>
      <c r="T22" s="97">
        <f t="shared" si="8"/>
        <v>26</v>
      </c>
      <c r="U22" s="99">
        <f t="shared" si="0"/>
        <v>0.44285470958950773</v>
      </c>
      <c r="V22" s="97">
        <v>0</v>
      </c>
      <c r="W22" s="97">
        <v>1</v>
      </c>
      <c r="X22" s="97">
        <v>2</v>
      </c>
      <c r="Y22" s="97">
        <v>0</v>
      </c>
      <c r="Z22" s="97">
        <v>3</v>
      </c>
      <c r="AA22" s="97">
        <f t="shared" si="9"/>
        <v>6</v>
      </c>
      <c r="AB22" s="99">
        <f t="shared" si="1"/>
        <v>0.10219724067450178</v>
      </c>
      <c r="AC22" s="101">
        <v>6</v>
      </c>
      <c r="AD22" s="101">
        <v>2</v>
      </c>
      <c r="AE22" s="101">
        <v>116</v>
      </c>
    </row>
    <row r="23" spans="1:34" ht="14.4" thickBot="1" x14ac:dyDescent="0.3">
      <c r="A23" s="89" t="s">
        <v>13</v>
      </c>
      <c r="B23" s="97">
        <v>7</v>
      </c>
      <c r="C23" s="97">
        <v>2</v>
      </c>
      <c r="D23" s="97">
        <v>17</v>
      </c>
      <c r="E23" s="97">
        <v>1</v>
      </c>
      <c r="F23" s="97">
        <v>3</v>
      </c>
      <c r="G23" s="98">
        <f t="shared" si="6"/>
        <v>30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 t="shared" si="7"/>
        <v>0</v>
      </c>
      <c r="N23" s="99">
        <f t="shared" si="3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f t="shared" si="8"/>
        <v>1</v>
      </c>
      <c r="U23" s="99">
        <f t="shared" si="0"/>
        <v>3.3333333333333335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 t="shared" si="9"/>
        <v>0</v>
      </c>
      <c r="AB23" s="99">
        <f t="shared" si="1"/>
        <v>0</v>
      </c>
      <c r="AC23" s="101">
        <v>2</v>
      </c>
      <c r="AD23" s="101">
        <v>0</v>
      </c>
      <c r="AE23" s="101">
        <v>1</v>
      </c>
    </row>
    <row r="24" spans="1:34" ht="23.4" thickBot="1" x14ac:dyDescent="0.3">
      <c r="A24" s="139" t="s">
        <v>23</v>
      </c>
      <c r="B24" s="110">
        <v>471</v>
      </c>
      <c r="C24" s="110">
        <v>148</v>
      </c>
      <c r="D24" s="97">
        <v>496</v>
      </c>
      <c r="E24" s="110">
        <v>434</v>
      </c>
      <c r="F24" s="97">
        <v>244</v>
      </c>
      <c r="G24" s="98">
        <f t="shared" si="6"/>
        <v>1793</v>
      </c>
      <c r="H24" s="110">
        <v>1</v>
      </c>
      <c r="I24" s="97">
        <v>0</v>
      </c>
      <c r="J24" s="97">
        <v>1</v>
      </c>
      <c r="K24" s="97">
        <v>1</v>
      </c>
      <c r="L24" s="97">
        <v>1</v>
      </c>
      <c r="M24" s="97">
        <f t="shared" si="7"/>
        <v>4</v>
      </c>
      <c r="N24" s="99">
        <f t="shared" si="3"/>
        <v>0.22308979364194087</v>
      </c>
      <c r="O24" s="110">
        <v>0</v>
      </c>
      <c r="P24" s="97">
        <v>0</v>
      </c>
      <c r="Q24" s="110">
        <v>0</v>
      </c>
      <c r="R24" s="110">
        <v>5</v>
      </c>
      <c r="S24" s="97">
        <v>0</v>
      </c>
      <c r="T24" s="97">
        <f t="shared" si="8"/>
        <v>5</v>
      </c>
      <c r="U24" s="99">
        <f t="shared" si="0"/>
        <v>0.2788622420524261</v>
      </c>
      <c r="V24" s="110">
        <v>0</v>
      </c>
      <c r="W24" s="110">
        <v>0</v>
      </c>
      <c r="X24" s="110">
        <v>1</v>
      </c>
      <c r="Y24" s="110">
        <v>0</v>
      </c>
      <c r="Z24" s="110">
        <v>0</v>
      </c>
      <c r="AA24" s="97">
        <f t="shared" si="9"/>
        <v>1</v>
      </c>
      <c r="AB24" s="99">
        <f t="shared" si="1"/>
        <v>5.5772448410485218E-2</v>
      </c>
      <c r="AC24" s="101">
        <v>0</v>
      </c>
      <c r="AD24" s="101">
        <v>0</v>
      </c>
      <c r="AE24" s="101">
        <v>32</v>
      </c>
    </row>
    <row r="25" spans="1:34" s="132" customFormat="1" ht="15" customHeight="1" thickBot="1" x14ac:dyDescent="0.3">
      <c r="A25" s="128" t="s">
        <v>22</v>
      </c>
      <c r="B25" s="111">
        <f t="shared" ref="B25:L25" si="10">SUM(B14:B24)</f>
        <v>2342</v>
      </c>
      <c r="C25" s="111">
        <f t="shared" si="10"/>
        <v>795</v>
      </c>
      <c r="D25" s="111">
        <f t="shared" si="10"/>
        <v>2386</v>
      </c>
      <c r="E25" s="111">
        <f t="shared" si="10"/>
        <v>2581</v>
      </c>
      <c r="F25" s="111">
        <f t="shared" si="10"/>
        <v>1285</v>
      </c>
      <c r="G25" s="102">
        <f>SUM(G14:G24)</f>
        <v>9389</v>
      </c>
      <c r="H25" s="111">
        <f t="shared" si="10"/>
        <v>9</v>
      </c>
      <c r="I25" s="111">
        <f t="shared" si="10"/>
        <v>0</v>
      </c>
      <c r="J25" s="111">
        <f t="shared" si="10"/>
        <v>8</v>
      </c>
      <c r="K25" s="111">
        <f t="shared" si="10"/>
        <v>7</v>
      </c>
      <c r="L25" s="111">
        <f t="shared" si="10"/>
        <v>5</v>
      </c>
      <c r="M25" s="103">
        <f>SUM(M14:M24)</f>
        <v>29</v>
      </c>
      <c r="N25" s="104">
        <f t="shared" si="3"/>
        <v>0.3088720843540313</v>
      </c>
      <c r="O25" s="111">
        <f t="shared" ref="O25:T25" si="11">SUM(O14:O24)</f>
        <v>4</v>
      </c>
      <c r="P25" s="111">
        <f t="shared" si="11"/>
        <v>3</v>
      </c>
      <c r="Q25" s="111">
        <f t="shared" si="11"/>
        <v>13</v>
      </c>
      <c r="R25" s="111">
        <f t="shared" si="11"/>
        <v>22</v>
      </c>
      <c r="S25" s="111">
        <f t="shared" si="11"/>
        <v>4</v>
      </c>
      <c r="T25" s="103">
        <f t="shared" si="11"/>
        <v>46</v>
      </c>
      <c r="U25" s="104">
        <f t="shared" si="0"/>
        <v>0.48993503035467034</v>
      </c>
      <c r="V25" s="111">
        <f t="shared" ref="V25:AA25" si="12">SUM(V14:V24)</f>
        <v>0</v>
      </c>
      <c r="W25" s="111">
        <f t="shared" si="12"/>
        <v>1</v>
      </c>
      <c r="X25" s="111">
        <f t="shared" si="12"/>
        <v>3</v>
      </c>
      <c r="Y25" s="111">
        <f t="shared" si="12"/>
        <v>0</v>
      </c>
      <c r="Z25" s="111">
        <f t="shared" si="12"/>
        <v>3</v>
      </c>
      <c r="AA25" s="103">
        <f t="shared" si="12"/>
        <v>7</v>
      </c>
      <c r="AB25" s="104">
        <f t="shared" si="1"/>
        <v>7.4555330706145492E-2</v>
      </c>
      <c r="AC25" s="107">
        <f>SUM(AC14:AC24)</f>
        <v>9</v>
      </c>
      <c r="AD25" s="107">
        <f>SUM(AD14:AD24)</f>
        <v>2</v>
      </c>
      <c r="AE25" s="107">
        <f>SUM(AE14:AE24)</f>
        <v>205</v>
      </c>
    </row>
    <row r="26" spans="1:34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4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4" ht="14.4" thickBot="1" x14ac:dyDescent="0.3">
      <c r="A28" s="89" t="s">
        <v>15</v>
      </c>
      <c r="B28" s="97">
        <v>3626</v>
      </c>
      <c r="C28" s="97">
        <v>2002</v>
      </c>
      <c r="D28" s="97">
        <v>2865</v>
      </c>
      <c r="E28" s="97">
        <v>3400</v>
      </c>
      <c r="F28" s="97">
        <v>3005</v>
      </c>
      <c r="G28" s="98">
        <f>SUM(B28:F28)</f>
        <v>14898</v>
      </c>
      <c r="H28" s="97">
        <v>1</v>
      </c>
      <c r="I28" s="97">
        <v>2</v>
      </c>
      <c r="J28" s="97">
        <v>3</v>
      </c>
      <c r="K28" s="97">
        <v>3</v>
      </c>
      <c r="L28" s="97">
        <v>0</v>
      </c>
      <c r="M28" s="97">
        <f>SUM(H28:L28)</f>
        <v>9</v>
      </c>
      <c r="N28" s="99">
        <f t="shared" si="3"/>
        <v>6.0410793395086586E-2</v>
      </c>
      <c r="O28" s="97">
        <v>4</v>
      </c>
      <c r="P28" s="97">
        <v>2</v>
      </c>
      <c r="Q28" s="97">
        <v>5</v>
      </c>
      <c r="R28" s="97">
        <v>7</v>
      </c>
      <c r="S28" s="97">
        <v>0</v>
      </c>
      <c r="T28" s="97">
        <f>SUM(O28:S28)</f>
        <v>18</v>
      </c>
      <c r="U28" s="99">
        <f t="shared" si="0"/>
        <v>0.12082158679017317</v>
      </c>
      <c r="V28" s="97">
        <v>1</v>
      </c>
      <c r="W28" s="97">
        <v>0</v>
      </c>
      <c r="X28" s="97">
        <v>1</v>
      </c>
      <c r="Y28" s="97">
        <v>1</v>
      </c>
      <c r="Z28" s="97">
        <v>1</v>
      </c>
      <c r="AA28" s="97">
        <f>SUM(V28:Z28)</f>
        <v>4</v>
      </c>
      <c r="AB28" s="99">
        <f t="shared" si="1"/>
        <v>2.6849241508927372E-2</v>
      </c>
      <c r="AC28" s="101">
        <v>2</v>
      </c>
      <c r="AD28" s="101">
        <v>1</v>
      </c>
      <c r="AE28" s="101">
        <v>48</v>
      </c>
    </row>
    <row r="29" spans="1:34" ht="14.4" thickBot="1" x14ac:dyDescent="0.3">
      <c r="A29" s="89" t="s">
        <v>16</v>
      </c>
      <c r="B29" s="97">
        <v>1423</v>
      </c>
      <c r="C29" s="97">
        <v>835</v>
      </c>
      <c r="D29" s="97">
        <v>1449</v>
      </c>
      <c r="E29" s="97">
        <v>1527</v>
      </c>
      <c r="F29" s="97">
        <v>1005</v>
      </c>
      <c r="G29" s="98">
        <f t="shared" ref="G29:G36" si="13">SUM(B29:F29)</f>
        <v>6239</v>
      </c>
      <c r="H29" s="97">
        <v>6</v>
      </c>
      <c r="I29" s="97">
        <v>2</v>
      </c>
      <c r="J29" s="97">
        <v>6</v>
      </c>
      <c r="K29" s="97">
        <v>5</v>
      </c>
      <c r="L29" s="97">
        <v>1</v>
      </c>
      <c r="M29" s="97">
        <f t="shared" ref="M29:M36" si="14">SUM(H29:L29)</f>
        <v>20</v>
      </c>
      <c r="N29" s="99">
        <f t="shared" si="3"/>
        <v>0.32056419297964417</v>
      </c>
      <c r="O29" s="97">
        <v>6</v>
      </c>
      <c r="P29" s="97">
        <v>0</v>
      </c>
      <c r="Q29" s="97">
        <v>13</v>
      </c>
      <c r="R29" s="97">
        <v>6</v>
      </c>
      <c r="S29" s="97">
        <v>0</v>
      </c>
      <c r="T29" s="97">
        <f t="shared" ref="T29:T36" si="15">SUM(O29:S29)</f>
        <v>25</v>
      </c>
      <c r="U29" s="99">
        <f t="shared" si="0"/>
        <v>0.4007052412245552</v>
      </c>
      <c r="V29" s="97">
        <v>5</v>
      </c>
      <c r="W29" s="97">
        <v>1</v>
      </c>
      <c r="X29" s="97">
        <v>3</v>
      </c>
      <c r="Y29" s="97">
        <v>3</v>
      </c>
      <c r="Z29" s="97">
        <v>0</v>
      </c>
      <c r="AA29" s="97">
        <f t="shared" ref="AA29:AA36" si="16">SUM(V29:Z29)</f>
        <v>12</v>
      </c>
      <c r="AB29" s="99">
        <f t="shared" si="1"/>
        <v>0.19233851578778649</v>
      </c>
      <c r="AC29" s="101">
        <v>10</v>
      </c>
      <c r="AD29" s="101">
        <v>5</v>
      </c>
      <c r="AE29" s="101">
        <v>68</v>
      </c>
    </row>
    <row r="30" spans="1:34" ht="14.4" thickBot="1" x14ac:dyDescent="0.3">
      <c r="A30" s="89" t="s">
        <v>34</v>
      </c>
      <c r="B30" s="97">
        <v>1049</v>
      </c>
      <c r="C30" s="97">
        <v>688</v>
      </c>
      <c r="D30" s="97">
        <v>815</v>
      </c>
      <c r="E30" s="97">
        <v>894</v>
      </c>
      <c r="F30" s="97">
        <v>1308</v>
      </c>
      <c r="G30" s="98">
        <f t="shared" si="13"/>
        <v>4754</v>
      </c>
      <c r="H30" s="97">
        <v>0</v>
      </c>
      <c r="I30" s="97">
        <v>0</v>
      </c>
      <c r="J30" s="97">
        <v>1</v>
      </c>
      <c r="K30" s="97">
        <v>2</v>
      </c>
      <c r="L30" s="97">
        <v>0</v>
      </c>
      <c r="M30" s="97">
        <f t="shared" si="14"/>
        <v>3</v>
      </c>
      <c r="N30" s="99">
        <f t="shared" si="3"/>
        <v>6.3104753891459822E-2</v>
      </c>
      <c r="O30" s="97">
        <v>3</v>
      </c>
      <c r="P30" s="97">
        <v>6</v>
      </c>
      <c r="Q30" s="97">
        <v>8</v>
      </c>
      <c r="R30" s="97">
        <v>3</v>
      </c>
      <c r="S30" s="97">
        <v>5</v>
      </c>
      <c r="T30" s="97">
        <f t="shared" si="15"/>
        <v>25</v>
      </c>
      <c r="U30" s="99">
        <f t="shared" si="0"/>
        <v>0.52587294909549853</v>
      </c>
      <c r="V30" s="97">
        <v>0</v>
      </c>
      <c r="W30" s="97">
        <v>1</v>
      </c>
      <c r="X30" s="97">
        <v>0</v>
      </c>
      <c r="Y30" s="97">
        <v>0</v>
      </c>
      <c r="Z30" s="97">
        <v>2</v>
      </c>
      <c r="AA30" s="97">
        <f t="shared" si="16"/>
        <v>3</v>
      </c>
      <c r="AB30" s="99">
        <f t="shared" si="1"/>
        <v>6.3104753891459822E-2</v>
      </c>
      <c r="AC30" s="101">
        <v>2</v>
      </c>
      <c r="AD30" s="101">
        <v>1</v>
      </c>
      <c r="AE30" s="101">
        <v>22</v>
      </c>
    </row>
    <row r="31" spans="1:34" ht="14.4" thickBot="1" x14ac:dyDescent="0.3">
      <c r="A31" s="89" t="s">
        <v>17</v>
      </c>
      <c r="B31" s="97">
        <v>7564</v>
      </c>
      <c r="C31" s="97">
        <v>4133</v>
      </c>
      <c r="D31" s="97">
        <v>7264</v>
      </c>
      <c r="E31" s="97">
        <v>7764</v>
      </c>
      <c r="F31" s="97">
        <v>6412</v>
      </c>
      <c r="G31" s="98">
        <f t="shared" si="13"/>
        <v>33137</v>
      </c>
      <c r="H31" s="97">
        <v>4</v>
      </c>
      <c r="I31" s="97">
        <v>1</v>
      </c>
      <c r="J31" s="97">
        <v>2</v>
      </c>
      <c r="K31" s="97">
        <v>4</v>
      </c>
      <c r="L31" s="97">
        <v>1</v>
      </c>
      <c r="M31" s="97">
        <f t="shared" si="14"/>
        <v>12</v>
      </c>
      <c r="N31" s="99">
        <f t="shared" si="3"/>
        <v>3.62132963152971E-2</v>
      </c>
      <c r="O31" s="97">
        <v>5</v>
      </c>
      <c r="P31" s="97">
        <v>1</v>
      </c>
      <c r="Q31" s="97">
        <v>5</v>
      </c>
      <c r="R31" s="97">
        <v>6</v>
      </c>
      <c r="S31" s="97">
        <v>5</v>
      </c>
      <c r="T31" s="97">
        <f t="shared" si="15"/>
        <v>22</v>
      </c>
      <c r="U31" s="99">
        <f t="shared" si="0"/>
        <v>6.6391043244711345E-2</v>
      </c>
      <c r="V31" s="97">
        <v>0</v>
      </c>
      <c r="W31" s="97">
        <v>1</v>
      </c>
      <c r="X31" s="97">
        <v>0</v>
      </c>
      <c r="Y31" s="97">
        <v>3</v>
      </c>
      <c r="Z31" s="97">
        <v>3</v>
      </c>
      <c r="AA31" s="97">
        <f t="shared" si="16"/>
        <v>7</v>
      </c>
      <c r="AB31" s="99">
        <f t="shared" si="1"/>
        <v>2.1124422850589974E-2</v>
      </c>
      <c r="AC31" s="101">
        <v>8</v>
      </c>
      <c r="AD31" s="101">
        <v>0</v>
      </c>
      <c r="AE31" s="101">
        <v>131</v>
      </c>
      <c r="AH31" t="s">
        <v>52</v>
      </c>
    </row>
    <row r="32" spans="1:34" ht="14.4" thickBot="1" x14ac:dyDescent="0.3">
      <c r="A32" s="89" t="s">
        <v>18</v>
      </c>
      <c r="B32" s="97">
        <v>2082</v>
      </c>
      <c r="C32" s="97">
        <v>1485</v>
      </c>
      <c r="D32" s="97">
        <v>1413</v>
      </c>
      <c r="E32" s="97">
        <v>1612</v>
      </c>
      <c r="F32" s="97">
        <v>2765</v>
      </c>
      <c r="G32" s="98">
        <f t="shared" si="13"/>
        <v>9357</v>
      </c>
      <c r="H32" s="97">
        <v>2</v>
      </c>
      <c r="I32" s="97">
        <v>4</v>
      </c>
      <c r="J32" s="97">
        <v>3</v>
      </c>
      <c r="K32" s="97">
        <v>0</v>
      </c>
      <c r="L32" s="97">
        <v>0</v>
      </c>
      <c r="M32" s="97">
        <f t="shared" si="14"/>
        <v>9</v>
      </c>
      <c r="N32" s="99">
        <f t="shared" si="3"/>
        <v>9.6184674575184356E-2</v>
      </c>
      <c r="O32" s="97">
        <v>1</v>
      </c>
      <c r="P32" s="97">
        <v>2</v>
      </c>
      <c r="Q32" s="97">
        <v>2</v>
      </c>
      <c r="R32" s="97">
        <v>0</v>
      </c>
      <c r="S32" s="97">
        <v>10</v>
      </c>
      <c r="T32" s="97">
        <f t="shared" si="15"/>
        <v>15</v>
      </c>
      <c r="U32" s="99">
        <f t="shared" si="0"/>
        <v>0.16030779095864059</v>
      </c>
      <c r="V32" s="97">
        <v>1</v>
      </c>
      <c r="W32" s="97">
        <v>0</v>
      </c>
      <c r="X32" s="97">
        <v>1</v>
      </c>
      <c r="Y32" s="97">
        <v>2</v>
      </c>
      <c r="Z32" s="97">
        <v>1</v>
      </c>
      <c r="AA32" s="97">
        <f t="shared" si="16"/>
        <v>5</v>
      </c>
      <c r="AB32" s="99">
        <f t="shared" si="1"/>
        <v>5.3435930319546861E-2</v>
      </c>
      <c r="AC32" s="101">
        <v>7</v>
      </c>
      <c r="AD32" s="101">
        <v>3</v>
      </c>
      <c r="AE32" s="101">
        <v>48</v>
      </c>
    </row>
    <row r="33" spans="1:32" ht="14.4" thickBot="1" x14ac:dyDescent="0.3">
      <c r="A33" s="89" t="s">
        <v>19</v>
      </c>
      <c r="B33" s="97">
        <v>10792</v>
      </c>
      <c r="C33" s="97">
        <v>6022</v>
      </c>
      <c r="D33" s="97">
        <v>10696</v>
      </c>
      <c r="E33" s="97">
        <v>10044</v>
      </c>
      <c r="F33" s="97">
        <v>7456</v>
      </c>
      <c r="G33" s="98">
        <f t="shared" si="13"/>
        <v>45010</v>
      </c>
      <c r="H33" s="97">
        <v>26</v>
      </c>
      <c r="I33" s="97">
        <v>9</v>
      </c>
      <c r="J33" s="97">
        <v>33</v>
      </c>
      <c r="K33" s="97">
        <v>20</v>
      </c>
      <c r="L33" s="97">
        <v>13</v>
      </c>
      <c r="M33" s="97">
        <f t="shared" si="14"/>
        <v>101</v>
      </c>
      <c r="N33" s="99">
        <f t="shared" si="3"/>
        <v>0.22439457898244836</v>
      </c>
      <c r="O33" s="97">
        <v>37</v>
      </c>
      <c r="P33" s="97">
        <v>20</v>
      </c>
      <c r="Q33" s="97">
        <v>55</v>
      </c>
      <c r="R33" s="97">
        <v>51</v>
      </c>
      <c r="S33" s="97">
        <v>24</v>
      </c>
      <c r="T33" s="97">
        <f t="shared" si="15"/>
        <v>187</v>
      </c>
      <c r="U33" s="99">
        <f t="shared" si="0"/>
        <v>0.41546323039324595</v>
      </c>
      <c r="V33" s="97">
        <v>20</v>
      </c>
      <c r="W33" s="97">
        <v>3</v>
      </c>
      <c r="X33" s="97">
        <v>17</v>
      </c>
      <c r="Y33" s="97">
        <v>10</v>
      </c>
      <c r="Z33" s="97">
        <v>5</v>
      </c>
      <c r="AA33" s="97">
        <f t="shared" si="16"/>
        <v>55</v>
      </c>
      <c r="AB33" s="99">
        <f t="shared" si="1"/>
        <v>0.12219506776271939</v>
      </c>
      <c r="AC33" s="101">
        <v>51</v>
      </c>
      <c r="AD33" s="101">
        <v>13</v>
      </c>
      <c r="AE33" s="101">
        <v>404</v>
      </c>
    </row>
    <row r="34" spans="1:32" ht="14.4" thickBot="1" x14ac:dyDescent="0.3">
      <c r="A34" s="89" t="s">
        <v>20</v>
      </c>
      <c r="B34" s="97">
        <v>7731</v>
      </c>
      <c r="C34" s="97">
        <v>4298</v>
      </c>
      <c r="D34" s="97">
        <v>6884</v>
      </c>
      <c r="E34" s="97">
        <v>8230</v>
      </c>
      <c r="F34" s="97">
        <v>4983</v>
      </c>
      <c r="G34" s="98">
        <f t="shared" si="13"/>
        <v>32126</v>
      </c>
      <c r="H34" s="97">
        <v>19</v>
      </c>
      <c r="I34" s="97">
        <v>3</v>
      </c>
      <c r="J34" s="97">
        <v>23</v>
      </c>
      <c r="K34" s="97">
        <v>18</v>
      </c>
      <c r="L34" s="97">
        <v>2</v>
      </c>
      <c r="M34" s="97">
        <f t="shared" si="14"/>
        <v>65</v>
      </c>
      <c r="N34" s="99">
        <f t="shared" si="3"/>
        <v>0.20232833219199403</v>
      </c>
      <c r="O34" s="97">
        <v>22</v>
      </c>
      <c r="P34" s="97">
        <v>7</v>
      </c>
      <c r="Q34" s="97">
        <v>21</v>
      </c>
      <c r="R34" s="97">
        <v>27</v>
      </c>
      <c r="S34" s="97">
        <v>11</v>
      </c>
      <c r="T34" s="97">
        <f t="shared" si="15"/>
        <v>88</v>
      </c>
      <c r="U34" s="99">
        <f t="shared" si="0"/>
        <v>0.27392143435223804</v>
      </c>
      <c r="V34" s="97">
        <v>6</v>
      </c>
      <c r="W34" s="97">
        <v>2</v>
      </c>
      <c r="X34" s="97">
        <v>6</v>
      </c>
      <c r="Y34" s="97">
        <v>4</v>
      </c>
      <c r="Z34" s="97">
        <v>5</v>
      </c>
      <c r="AA34" s="97">
        <f t="shared" si="16"/>
        <v>23</v>
      </c>
      <c r="AB34" s="99">
        <f t="shared" si="1"/>
        <v>7.1593102160244046E-2</v>
      </c>
      <c r="AC34" s="101">
        <v>33</v>
      </c>
      <c r="AD34" s="101">
        <v>6</v>
      </c>
      <c r="AE34" s="101">
        <v>277</v>
      </c>
    </row>
    <row r="35" spans="1:32" ht="14.4" thickBot="1" x14ac:dyDescent="0.3">
      <c r="A35" s="89" t="s">
        <v>25</v>
      </c>
      <c r="B35" s="97">
        <v>58</v>
      </c>
      <c r="C35" s="97">
        <v>35</v>
      </c>
      <c r="D35" s="97">
        <v>50</v>
      </c>
      <c r="E35" s="97">
        <v>86</v>
      </c>
      <c r="F35" s="97">
        <v>26</v>
      </c>
      <c r="G35" s="98">
        <f t="shared" si="13"/>
        <v>255</v>
      </c>
      <c r="H35" s="97">
        <v>0</v>
      </c>
      <c r="I35" s="97">
        <v>0</v>
      </c>
      <c r="J35" s="97">
        <v>1</v>
      </c>
      <c r="K35" s="97">
        <v>0</v>
      </c>
      <c r="L35" s="97">
        <v>0</v>
      </c>
      <c r="M35" s="97">
        <f t="shared" si="14"/>
        <v>1</v>
      </c>
      <c r="N35" s="99">
        <f t="shared" si="3"/>
        <v>0.39215686274509803</v>
      </c>
      <c r="O35" s="97">
        <v>0</v>
      </c>
      <c r="P35" s="97">
        <v>1</v>
      </c>
      <c r="Q35" s="97">
        <v>4</v>
      </c>
      <c r="R35" s="97">
        <v>6</v>
      </c>
      <c r="S35" s="97">
        <v>1</v>
      </c>
      <c r="T35" s="97">
        <f t="shared" si="15"/>
        <v>12</v>
      </c>
      <c r="U35" s="99">
        <f t="shared" si="0"/>
        <v>4.7058823529411766</v>
      </c>
      <c r="V35" s="97">
        <v>0</v>
      </c>
      <c r="W35" s="97">
        <v>0</v>
      </c>
      <c r="X35" s="97">
        <v>1</v>
      </c>
      <c r="Y35" s="97">
        <v>1</v>
      </c>
      <c r="Z35" s="97">
        <v>0</v>
      </c>
      <c r="AA35" s="97">
        <f t="shared" si="16"/>
        <v>2</v>
      </c>
      <c r="AB35" s="99">
        <f t="shared" si="1"/>
        <v>0.78431372549019607</v>
      </c>
      <c r="AC35" s="101">
        <v>2</v>
      </c>
      <c r="AD35" s="101">
        <v>1</v>
      </c>
      <c r="AE35" s="101">
        <v>32</v>
      </c>
    </row>
    <row r="36" spans="1:32" ht="14.4" thickBot="1" x14ac:dyDescent="0.3">
      <c r="A36" s="89" t="s">
        <v>26</v>
      </c>
      <c r="B36" s="97">
        <v>71086</v>
      </c>
      <c r="C36" s="97">
        <v>44294</v>
      </c>
      <c r="D36" s="97">
        <v>80184</v>
      </c>
      <c r="E36" s="97">
        <v>84881</v>
      </c>
      <c r="F36" s="97">
        <v>58835</v>
      </c>
      <c r="G36" s="98">
        <f t="shared" si="13"/>
        <v>339280</v>
      </c>
      <c r="H36" s="97">
        <v>89</v>
      </c>
      <c r="I36" s="97">
        <v>61</v>
      </c>
      <c r="J36" s="97">
        <v>155</v>
      </c>
      <c r="K36" s="97">
        <v>84</v>
      </c>
      <c r="L36" s="97">
        <v>48</v>
      </c>
      <c r="M36" s="97">
        <f t="shared" si="14"/>
        <v>437</v>
      </c>
      <c r="N36" s="99">
        <f t="shared" si="3"/>
        <v>0.12880216929969346</v>
      </c>
      <c r="O36" s="97">
        <v>150</v>
      </c>
      <c r="P36" s="97">
        <v>79</v>
      </c>
      <c r="Q36" s="97">
        <v>234</v>
      </c>
      <c r="R36" s="97">
        <v>177</v>
      </c>
      <c r="S36" s="97">
        <v>67</v>
      </c>
      <c r="T36" s="97">
        <f t="shared" si="15"/>
        <v>707</v>
      </c>
      <c r="U36" s="99">
        <f t="shared" si="0"/>
        <v>0.20838245696769631</v>
      </c>
      <c r="V36" s="97">
        <v>65</v>
      </c>
      <c r="W36" s="97">
        <v>23</v>
      </c>
      <c r="X36" s="97">
        <v>62</v>
      </c>
      <c r="Y36" s="97">
        <v>51</v>
      </c>
      <c r="Z36" s="97">
        <v>32</v>
      </c>
      <c r="AA36" s="97">
        <f t="shared" si="16"/>
        <v>233</v>
      </c>
      <c r="AB36" s="99">
        <f t="shared" si="1"/>
        <v>6.867484083942467E-2</v>
      </c>
      <c r="AC36" s="101">
        <v>156</v>
      </c>
      <c r="AD36" s="101">
        <v>41</v>
      </c>
      <c r="AE36" s="97">
        <v>2453</v>
      </c>
    </row>
    <row r="37" spans="1:32" s="132" customFormat="1" ht="14.4" thickBot="1" x14ac:dyDescent="0.3">
      <c r="A37" s="128" t="s">
        <v>21</v>
      </c>
      <c r="B37" s="111">
        <f t="shared" ref="B37:L37" si="17">SUM(B28:B36)</f>
        <v>105411</v>
      </c>
      <c r="C37" s="111">
        <f t="shared" si="17"/>
        <v>63792</v>
      </c>
      <c r="D37" s="111">
        <f t="shared" si="17"/>
        <v>111620</v>
      </c>
      <c r="E37" s="111">
        <f t="shared" si="17"/>
        <v>118438</v>
      </c>
      <c r="F37" s="111">
        <f t="shared" si="17"/>
        <v>85795</v>
      </c>
      <c r="G37" s="102">
        <f>SUM(G28:G36)</f>
        <v>485056</v>
      </c>
      <c r="H37" s="111">
        <f t="shared" si="17"/>
        <v>147</v>
      </c>
      <c r="I37" s="111">
        <f t="shared" si="17"/>
        <v>82</v>
      </c>
      <c r="J37" s="111">
        <f t="shared" si="17"/>
        <v>227</v>
      </c>
      <c r="K37" s="111">
        <f t="shared" si="17"/>
        <v>136</v>
      </c>
      <c r="L37" s="111">
        <f t="shared" si="17"/>
        <v>65</v>
      </c>
      <c r="M37" s="103">
        <f>SUM(M28:M36)</f>
        <v>657</v>
      </c>
      <c r="N37" s="104">
        <f t="shared" si="3"/>
        <v>0.1354482781369574</v>
      </c>
      <c r="O37" s="111">
        <f t="shared" ref="O37:T37" si="18">SUM(O28:O36)</f>
        <v>228</v>
      </c>
      <c r="P37" s="111">
        <f t="shared" si="18"/>
        <v>118</v>
      </c>
      <c r="Q37" s="111">
        <f t="shared" si="18"/>
        <v>347</v>
      </c>
      <c r="R37" s="111">
        <f t="shared" si="18"/>
        <v>283</v>
      </c>
      <c r="S37" s="111">
        <f t="shared" si="18"/>
        <v>123</v>
      </c>
      <c r="T37" s="103">
        <f t="shared" si="18"/>
        <v>1099</v>
      </c>
      <c r="U37" s="104">
        <f t="shared" si="0"/>
        <v>0.22657177727932445</v>
      </c>
      <c r="V37" s="111">
        <f t="shared" ref="V37:AA37" si="19">SUM(V28:V36)</f>
        <v>98</v>
      </c>
      <c r="W37" s="111">
        <f t="shared" si="19"/>
        <v>31</v>
      </c>
      <c r="X37" s="111">
        <f t="shared" si="19"/>
        <v>91</v>
      </c>
      <c r="Y37" s="111">
        <f t="shared" si="19"/>
        <v>75</v>
      </c>
      <c r="Z37" s="111">
        <f t="shared" si="19"/>
        <v>49</v>
      </c>
      <c r="AA37" s="103">
        <f t="shared" si="19"/>
        <v>344</v>
      </c>
      <c r="AB37" s="104">
        <f t="shared" si="1"/>
        <v>7.0919646391344501E-2</v>
      </c>
      <c r="AC37" s="107">
        <f>SUM(AC28:AC36)</f>
        <v>271</v>
      </c>
      <c r="AD37" s="107">
        <f>SUM(AD28:AD36)</f>
        <v>71</v>
      </c>
      <c r="AE37" s="114">
        <f>SUM(AE28:AE36)</f>
        <v>3483</v>
      </c>
      <c r="AF37" s="143"/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141</v>
      </c>
      <c r="C40" s="97">
        <v>99</v>
      </c>
      <c r="D40" s="97">
        <v>132</v>
      </c>
      <c r="E40" s="97">
        <v>113</v>
      </c>
      <c r="F40" s="97">
        <v>65</v>
      </c>
      <c r="G40" s="98">
        <f>SUM(B40:F40)</f>
        <v>550</v>
      </c>
      <c r="H40" s="97">
        <v>2</v>
      </c>
      <c r="I40" s="97">
        <v>0</v>
      </c>
      <c r="J40" s="97">
        <v>0</v>
      </c>
      <c r="K40" s="97">
        <v>0</v>
      </c>
      <c r="L40" s="120">
        <v>1</v>
      </c>
      <c r="M40" s="97">
        <f>SUM(H40:L40)</f>
        <v>3</v>
      </c>
      <c r="N40" s="99">
        <f t="shared" si="3"/>
        <v>0.54545454545454541</v>
      </c>
      <c r="O40" s="97">
        <v>0</v>
      </c>
      <c r="P40" s="97">
        <v>0</v>
      </c>
      <c r="Q40" s="97">
        <v>1</v>
      </c>
      <c r="R40" s="97">
        <v>0</v>
      </c>
      <c r="S40" s="97">
        <v>4</v>
      </c>
      <c r="T40" s="97">
        <f>SUM(O40:S40)</f>
        <v>5</v>
      </c>
      <c r="U40" s="99">
        <f t="shared" si="0"/>
        <v>0.90909090909090906</v>
      </c>
      <c r="V40" s="133">
        <v>0</v>
      </c>
      <c r="W40" s="133">
        <v>0</v>
      </c>
      <c r="X40" s="133">
        <v>4</v>
      </c>
      <c r="Y40" s="133">
        <v>0</v>
      </c>
      <c r="Z40" s="133">
        <v>0</v>
      </c>
      <c r="AA40" s="101">
        <f>SUM(V40:Z40)</f>
        <v>4</v>
      </c>
      <c r="AB40" s="99">
        <f t="shared" si="1"/>
        <v>0.72727272727272729</v>
      </c>
      <c r="AC40" s="101">
        <v>0</v>
      </c>
      <c r="AD40" s="101">
        <v>0</v>
      </c>
      <c r="AE40" s="101">
        <v>1</v>
      </c>
    </row>
    <row r="41" spans="1:32" ht="14.4" thickBot="1" x14ac:dyDescent="0.3">
      <c r="A41" s="89" t="s">
        <v>27</v>
      </c>
      <c r="B41" s="97">
        <v>57256</v>
      </c>
      <c r="C41" s="97">
        <v>46007</v>
      </c>
      <c r="D41" s="109">
        <v>46991</v>
      </c>
      <c r="E41" s="97">
        <v>57996</v>
      </c>
      <c r="F41" s="97">
        <v>67552</v>
      </c>
      <c r="G41" s="98">
        <f>SUM(B41:F41)</f>
        <v>275802</v>
      </c>
      <c r="H41" s="97">
        <v>20</v>
      </c>
      <c r="I41" s="97">
        <v>14</v>
      </c>
      <c r="J41" s="97">
        <v>26</v>
      </c>
      <c r="K41" s="97">
        <v>18</v>
      </c>
      <c r="L41" s="97">
        <v>14</v>
      </c>
      <c r="M41" s="97">
        <f>SUM(H41:L41)</f>
        <v>92</v>
      </c>
      <c r="N41" s="99">
        <f t="shared" si="3"/>
        <v>3.3357263544136734E-2</v>
      </c>
      <c r="O41" s="97">
        <v>13</v>
      </c>
      <c r="P41" s="97">
        <v>11</v>
      </c>
      <c r="Q41" s="97">
        <v>17</v>
      </c>
      <c r="R41" s="97">
        <v>22</v>
      </c>
      <c r="S41" s="97">
        <v>11</v>
      </c>
      <c r="T41" s="97">
        <f>SUM(O41:S41)</f>
        <v>74</v>
      </c>
      <c r="U41" s="99">
        <f t="shared" si="0"/>
        <v>2.6830842415936071E-2</v>
      </c>
      <c r="V41" s="109">
        <v>13</v>
      </c>
      <c r="W41" s="109">
        <v>1</v>
      </c>
      <c r="X41" s="133">
        <v>7</v>
      </c>
      <c r="Y41" s="133">
        <v>1</v>
      </c>
      <c r="Z41" s="133">
        <v>6</v>
      </c>
      <c r="AA41" s="97">
        <f>SUM(V41:Z41)</f>
        <v>28</v>
      </c>
      <c r="AB41" s="99">
        <f t="shared" si="1"/>
        <v>1.0152210643867702E-2</v>
      </c>
      <c r="AC41" s="101">
        <v>15</v>
      </c>
      <c r="AD41" s="101">
        <v>11</v>
      </c>
      <c r="AE41" s="101">
        <v>282</v>
      </c>
    </row>
    <row r="42" spans="1:32" s="132" customFormat="1" ht="14.4" thickBot="1" x14ac:dyDescent="0.3">
      <c r="A42" s="128" t="s">
        <v>21</v>
      </c>
      <c r="B42" s="111">
        <f t="shared" ref="B42:M42" si="20">SUM(B40:B41)</f>
        <v>57397</v>
      </c>
      <c r="C42" s="111">
        <f t="shared" si="20"/>
        <v>46106</v>
      </c>
      <c r="D42" s="111">
        <f t="shared" si="20"/>
        <v>47123</v>
      </c>
      <c r="E42" s="111">
        <f t="shared" si="20"/>
        <v>58109</v>
      </c>
      <c r="F42" s="111">
        <f t="shared" si="20"/>
        <v>67617</v>
      </c>
      <c r="G42" s="102">
        <f t="shared" si="20"/>
        <v>276352</v>
      </c>
      <c r="H42" s="115">
        <f t="shared" si="20"/>
        <v>22</v>
      </c>
      <c r="I42" s="115">
        <f t="shared" si="20"/>
        <v>14</v>
      </c>
      <c r="J42" s="115">
        <f t="shared" si="20"/>
        <v>26</v>
      </c>
      <c r="K42" s="115">
        <f t="shared" si="20"/>
        <v>18</v>
      </c>
      <c r="L42" s="115">
        <f t="shared" si="20"/>
        <v>15</v>
      </c>
      <c r="M42" s="103">
        <f t="shared" si="20"/>
        <v>95</v>
      </c>
      <c r="N42" s="104">
        <f t="shared" si="3"/>
        <v>3.437644742936545E-2</v>
      </c>
      <c r="O42" s="111">
        <f t="shared" ref="O42:T42" si="21">SUM(O40:O41)</f>
        <v>13</v>
      </c>
      <c r="P42" s="111">
        <f t="shared" si="21"/>
        <v>11</v>
      </c>
      <c r="Q42" s="111">
        <f t="shared" si="21"/>
        <v>18</v>
      </c>
      <c r="R42" s="111">
        <f t="shared" si="21"/>
        <v>22</v>
      </c>
      <c r="S42" s="111">
        <f t="shared" si="21"/>
        <v>15</v>
      </c>
      <c r="T42" s="103">
        <f t="shared" si="21"/>
        <v>79</v>
      </c>
      <c r="U42" s="104">
        <f t="shared" si="0"/>
        <v>2.8586729967577582E-2</v>
      </c>
      <c r="V42" s="116">
        <f t="shared" ref="V42:AA42" si="22">SUM(V40:V41)</f>
        <v>13</v>
      </c>
      <c r="W42" s="116">
        <f t="shared" si="22"/>
        <v>1</v>
      </c>
      <c r="X42" s="116">
        <f t="shared" si="22"/>
        <v>11</v>
      </c>
      <c r="Y42" s="116">
        <f t="shared" si="22"/>
        <v>1</v>
      </c>
      <c r="Z42" s="116">
        <f t="shared" si="22"/>
        <v>6</v>
      </c>
      <c r="AA42" s="106">
        <f t="shared" si="22"/>
        <v>32</v>
      </c>
      <c r="AB42" s="104">
        <f t="shared" si="1"/>
        <v>1.1579434923575729E-2</v>
      </c>
      <c r="AC42" s="107">
        <f>SUM(AC40:AC41)</f>
        <v>15</v>
      </c>
      <c r="AD42" s="107">
        <f>SUM(AD40:AD41)</f>
        <v>11</v>
      </c>
      <c r="AE42" s="107">
        <f>SUM(AE40:AE41)</f>
        <v>283</v>
      </c>
    </row>
    <row r="43" spans="1:32" ht="16.2" thickBot="1" x14ac:dyDescent="0.3">
      <c r="A43" s="121" t="s">
        <v>48</v>
      </c>
      <c r="B43" s="138">
        <f>B11+B25+B37+B42</f>
        <v>167473</v>
      </c>
      <c r="C43" s="134">
        <f>C11+C25+C37+C42</f>
        <v>111335</v>
      </c>
      <c r="D43" s="138">
        <f>D11+D25+D37+D42</f>
        <v>162837</v>
      </c>
      <c r="E43" s="134">
        <f>SUM(B43:D43)</f>
        <v>441645</v>
      </c>
      <c r="F43" s="134">
        <f t="shared" ref="F43" si="23">F11+F25+F37+F42</f>
        <v>155552</v>
      </c>
      <c r="G43" s="122">
        <f>G11+G25+G37+G42</f>
        <v>778049</v>
      </c>
      <c r="H43" s="122">
        <f t="shared" ref="H43:AC43" si="24">H11+H25+H37+H42</f>
        <v>182</v>
      </c>
      <c r="I43" s="122">
        <f t="shared" si="24"/>
        <v>98</v>
      </c>
      <c r="J43" s="122">
        <f t="shared" si="24"/>
        <v>269</v>
      </c>
      <c r="K43" s="122">
        <f t="shared" si="24"/>
        <v>162</v>
      </c>
      <c r="L43" s="122">
        <f t="shared" si="24"/>
        <v>87</v>
      </c>
      <c r="M43" s="122">
        <f t="shared" si="24"/>
        <v>798</v>
      </c>
      <c r="N43" s="123">
        <f t="shared" si="3"/>
        <v>0.10256423438626616</v>
      </c>
      <c r="O43" s="122">
        <f t="shared" si="24"/>
        <v>256</v>
      </c>
      <c r="P43" s="122">
        <f t="shared" si="24"/>
        <v>137</v>
      </c>
      <c r="Q43" s="122">
        <f t="shared" si="24"/>
        <v>388</v>
      </c>
      <c r="R43" s="122">
        <f t="shared" si="24"/>
        <v>342</v>
      </c>
      <c r="S43" s="122">
        <f t="shared" si="24"/>
        <v>147</v>
      </c>
      <c r="T43" s="122">
        <f t="shared" si="24"/>
        <v>1270</v>
      </c>
      <c r="U43" s="123">
        <f t="shared" si="0"/>
        <v>0.16322879407338098</v>
      </c>
      <c r="V43" s="122">
        <f t="shared" si="24"/>
        <v>115</v>
      </c>
      <c r="W43" s="122">
        <f t="shared" si="24"/>
        <v>33</v>
      </c>
      <c r="X43" s="122">
        <f t="shared" si="24"/>
        <v>106</v>
      </c>
      <c r="Y43" s="122">
        <f t="shared" si="24"/>
        <v>77</v>
      </c>
      <c r="Z43" s="122">
        <f t="shared" si="24"/>
        <v>64</v>
      </c>
      <c r="AA43" s="122">
        <f t="shared" si="24"/>
        <v>395</v>
      </c>
      <c r="AB43" s="123">
        <f t="shared" si="1"/>
        <v>5.0768010755106681E-2</v>
      </c>
      <c r="AC43" s="122">
        <f t="shared" si="24"/>
        <v>303</v>
      </c>
      <c r="AD43" s="122">
        <f>AD11+AD25+AD37+AD42</f>
        <v>87</v>
      </c>
      <c r="AE43" s="122">
        <f>AE11+AE25+AE37+AE42</f>
        <v>4110</v>
      </c>
    </row>
    <row r="44" spans="1:32" ht="13.8" x14ac:dyDescent="0.25">
      <c r="A44" s="16"/>
      <c r="B44" s="163"/>
      <c r="C44" s="163"/>
      <c r="D44" s="163"/>
      <c r="E44" s="163"/>
      <c r="F44" s="163"/>
      <c r="G44" s="163"/>
      <c r="H44" s="16"/>
      <c r="I44" s="16"/>
      <c r="J44" s="16"/>
      <c r="K44" s="16"/>
      <c r="L44" s="2"/>
      <c r="M44" s="2"/>
      <c r="N44" s="2"/>
    </row>
    <row r="45" spans="1:32" ht="13.2" customHeight="1" x14ac:dyDescent="0.25">
      <c r="B45" s="164"/>
      <c r="C45" s="164"/>
      <c r="D45" s="164"/>
      <c r="E45" s="164"/>
      <c r="F45" s="164"/>
      <c r="G45" s="164"/>
    </row>
    <row r="46" spans="1:32" ht="13.2" customHeight="1" x14ac:dyDescent="0.25">
      <c r="B46" s="164"/>
      <c r="C46" s="164"/>
      <c r="D46" s="164"/>
      <c r="E46" s="164"/>
      <c r="F46" s="164"/>
      <c r="G46" s="164"/>
    </row>
    <row r="47" spans="1:32" ht="13.2" customHeight="1" x14ac:dyDescent="0.25">
      <c r="B47" s="164"/>
      <c r="C47" s="164"/>
      <c r="D47" s="164"/>
      <c r="E47" s="164"/>
      <c r="F47" s="164"/>
      <c r="G47" s="164"/>
    </row>
    <row r="48" spans="1:32" ht="13.2" customHeight="1" x14ac:dyDescent="0.25">
      <c r="B48" s="164"/>
      <c r="C48" s="164"/>
      <c r="D48" s="164"/>
      <c r="E48" s="164"/>
      <c r="F48" s="164"/>
      <c r="G48" s="164"/>
    </row>
    <row r="49" spans="2:7" ht="13.2" customHeight="1" x14ac:dyDescent="0.25">
      <c r="B49" s="164"/>
      <c r="C49" s="164"/>
      <c r="D49" s="164"/>
      <c r="E49" s="164"/>
      <c r="F49" s="164"/>
      <c r="G49" s="164"/>
    </row>
    <row r="50" spans="2:7" ht="13.2" customHeight="1" x14ac:dyDescent="0.25">
      <c r="B50" s="164"/>
      <c r="C50" s="164"/>
      <c r="D50" s="164"/>
      <c r="E50" s="164"/>
      <c r="F50" s="164"/>
      <c r="G50" s="164"/>
    </row>
    <row r="51" spans="2:7" ht="13.2" customHeight="1" x14ac:dyDescent="0.25">
      <c r="B51" s="164"/>
      <c r="C51" s="164"/>
      <c r="D51" s="164"/>
      <c r="E51" s="164"/>
      <c r="F51" s="164"/>
      <c r="G51" s="164"/>
    </row>
    <row r="52" spans="2:7" ht="13.2" customHeight="1" x14ac:dyDescent="0.25">
      <c r="B52" s="164"/>
      <c r="C52" s="164"/>
      <c r="D52" s="164"/>
      <c r="E52" s="164"/>
      <c r="F52" s="164"/>
      <c r="G52" s="164"/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AJ4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49" sqref="H49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6" s="80" customFormat="1" ht="24.6" x14ac:dyDescent="0.4">
      <c r="A1" s="479" t="s">
        <v>96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6" s="80" customFormat="1" ht="18" customHeight="1" thickBot="1" x14ac:dyDescent="0.35"/>
    <row r="3" spans="1:36" ht="67.2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  <c r="AF3" s="18"/>
      <c r="AG3" s="19"/>
      <c r="AH3" s="19"/>
      <c r="AI3" s="19"/>
      <c r="AJ3" s="19"/>
    </row>
    <row r="4" spans="1:36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6" ht="14.4" thickBot="1" x14ac:dyDescent="0.3">
      <c r="A6" s="89" t="s">
        <v>1</v>
      </c>
      <c r="B6" s="97">
        <v>116</v>
      </c>
      <c r="C6" s="97">
        <v>29</v>
      </c>
      <c r="D6" s="97">
        <v>113</v>
      </c>
      <c r="E6" s="137">
        <v>71</v>
      </c>
      <c r="F6" s="97">
        <v>33</v>
      </c>
      <c r="G6" s="98">
        <f>SUM(B6:F6)</f>
        <v>362</v>
      </c>
      <c r="H6" s="97">
        <v>0</v>
      </c>
      <c r="I6" s="97">
        <v>1</v>
      </c>
      <c r="J6" s="97">
        <v>0</v>
      </c>
      <c r="K6" s="97">
        <v>0</v>
      </c>
      <c r="L6" s="97">
        <v>0</v>
      </c>
      <c r="M6" s="101">
        <f>SUM(H6:L6)</f>
        <v>1</v>
      </c>
      <c r="N6" s="99">
        <f>M6*100/G6</f>
        <v>0.27624309392265195</v>
      </c>
      <c r="O6" s="97">
        <v>1</v>
      </c>
      <c r="P6" s="97">
        <v>1</v>
      </c>
      <c r="Q6" s="97">
        <v>1</v>
      </c>
      <c r="R6" s="97">
        <v>0</v>
      </c>
      <c r="S6" s="97">
        <v>0</v>
      </c>
      <c r="T6" s="101">
        <f>SUM(O6:S6)</f>
        <v>3</v>
      </c>
      <c r="U6" s="99">
        <f>T6*100/G6</f>
        <v>0.82872928176795579</v>
      </c>
      <c r="V6" s="97">
        <v>0</v>
      </c>
      <c r="W6" s="97">
        <v>0</v>
      </c>
      <c r="X6" s="97">
        <v>0</v>
      </c>
      <c r="Y6" s="97">
        <v>0</v>
      </c>
      <c r="Z6" s="97">
        <v>0</v>
      </c>
      <c r="AA6" s="97">
        <f>SUM(V6:Z6)</f>
        <v>0</v>
      </c>
      <c r="AB6" s="99">
        <f>AA6*100/G6</f>
        <v>0</v>
      </c>
      <c r="AC6" s="101">
        <v>0</v>
      </c>
      <c r="AD6" s="101">
        <v>0</v>
      </c>
      <c r="AE6" s="101">
        <v>10</v>
      </c>
    </row>
    <row r="7" spans="1:36" ht="14.4" thickBot="1" x14ac:dyDescent="0.3">
      <c r="A7" s="90" t="s">
        <v>2</v>
      </c>
      <c r="B7" s="97">
        <v>858</v>
      </c>
      <c r="C7" s="97">
        <v>173</v>
      </c>
      <c r="D7" s="97">
        <v>791</v>
      </c>
      <c r="E7" s="137">
        <v>630</v>
      </c>
      <c r="F7" s="97">
        <v>315</v>
      </c>
      <c r="G7" s="98">
        <f>SUM(B7:F7)</f>
        <v>2767</v>
      </c>
      <c r="H7" s="97">
        <v>1</v>
      </c>
      <c r="I7" s="97">
        <v>0</v>
      </c>
      <c r="J7" s="97">
        <v>0</v>
      </c>
      <c r="K7" s="97">
        <v>3</v>
      </c>
      <c r="L7" s="97">
        <v>2</v>
      </c>
      <c r="M7" s="97">
        <f>SUM(H7:L7)</f>
        <v>6</v>
      </c>
      <c r="N7" s="99">
        <f>M7*100/G7</f>
        <v>0.21684134441633537</v>
      </c>
      <c r="O7" s="97">
        <v>3</v>
      </c>
      <c r="P7" s="97">
        <v>1</v>
      </c>
      <c r="Q7" s="97">
        <v>5</v>
      </c>
      <c r="R7" s="97">
        <v>3</v>
      </c>
      <c r="S7" s="97">
        <v>2</v>
      </c>
      <c r="T7" s="97">
        <f>SUM(O7:S7)</f>
        <v>14</v>
      </c>
      <c r="U7" s="99">
        <f>T7*100/G7</f>
        <v>0.50596313697144923</v>
      </c>
      <c r="V7" s="97">
        <v>0</v>
      </c>
      <c r="W7" s="97">
        <v>0</v>
      </c>
      <c r="X7" s="97">
        <v>8</v>
      </c>
      <c r="Y7" s="97">
        <v>2</v>
      </c>
      <c r="Z7" s="97">
        <v>1</v>
      </c>
      <c r="AA7" s="97">
        <f>SUM(V7:Z7)</f>
        <v>11</v>
      </c>
      <c r="AB7" s="99">
        <f>AA7*100/G7</f>
        <v>0.39754246476328153</v>
      </c>
      <c r="AC7" s="101">
        <v>2</v>
      </c>
      <c r="AD7" s="101">
        <v>4</v>
      </c>
      <c r="AE7" s="101">
        <v>66</v>
      </c>
    </row>
    <row r="8" spans="1:36" ht="14.4" thickBot="1" x14ac:dyDescent="0.3">
      <c r="A8" s="90" t="s">
        <v>14</v>
      </c>
      <c r="B8" s="97">
        <v>85</v>
      </c>
      <c r="C8" s="97">
        <v>33</v>
      </c>
      <c r="D8" s="97">
        <v>103</v>
      </c>
      <c r="E8" s="137">
        <v>122</v>
      </c>
      <c r="F8" s="97">
        <v>39</v>
      </c>
      <c r="G8" s="98">
        <f>SUM(B8:F8)</f>
        <v>382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101">
        <f>SUM(H8:L8)</f>
        <v>0</v>
      </c>
      <c r="N8" s="99">
        <f>M8*100/G8</f>
        <v>0</v>
      </c>
      <c r="O8" s="97">
        <v>0</v>
      </c>
      <c r="P8" s="97">
        <v>1</v>
      </c>
      <c r="Q8" s="97">
        <v>0</v>
      </c>
      <c r="R8" s="97">
        <v>1</v>
      </c>
      <c r="S8" s="97">
        <v>0</v>
      </c>
      <c r="T8" s="101">
        <f>SUM(O8:S8)</f>
        <v>2</v>
      </c>
      <c r="U8" s="99">
        <f t="shared" ref="U8:U43" si="0">T8*100/G8</f>
        <v>0.52356020942408377</v>
      </c>
      <c r="V8" s="97">
        <v>0</v>
      </c>
      <c r="W8" s="97">
        <v>0</v>
      </c>
      <c r="X8" s="97">
        <v>1</v>
      </c>
      <c r="Y8" s="97">
        <v>0</v>
      </c>
      <c r="Z8" s="97">
        <v>0</v>
      </c>
      <c r="AA8" s="97">
        <f>SUM(V8:Z8)</f>
        <v>1</v>
      </c>
      <c r="AB8" s="99">
        <f t="shared" ref="AB8:AB43" si="1">AA8*100/G8</f>
        <v>0.26178010471204188</v>
      </c>
      <c r="AC8" s="101">
        <v>0</v>
      </c>
      <c r="AD8" s="101">
        <v>0</v>
      </c>
      <c r="AE8" s="101">
        <v>3</v>
      </c>
    </row>
    <row r="9" spans="1:36" ht="14.4" thickBot="1" x14ac:dyDescent="0.3">
      <c r="A9" s="90" t="s">
        <v>3</v>
      </c>
      <c r="B9" s="97">
        <v>124</v>
      </c>
      <c r="C9" s="97">
        <v>62</v>
      </c>
      <c r="D9" s="97">
        <v>171</v>
      </c>
      <c r="E9" s="137">
        <v>131</v>
      </c>
      <c r="F9" s="97">
        <v>47</v>
      </c>
      <c r="G9" s="98">
        <f>SUM(B9:F9)</f>
        <v>535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f>SUM(H9:L9)</f>
        <v>0</v>
      </c>
      <c r="N9" s="99">
        <f>M9*100/G9</f>
        <v>0</v>
      </c>
      <c r="O9" s="97">
        <v>0</v>
      </c>
      <c r="P9" s="97">
        <v>0</v>
      </c>
      <c r="Q9" s="97">
        <v>1</v>
      </c>
      <c r="R9" s="97">
        <v>0</v>
      </c>
      <c r="S9" s="97">
        <v>0</v>
      </c>
      <c r="T9" s="97">
        <f>SUM(O9:S9)</f>
        <v>1</v>
      </c>
      <c r="U9" s="99">
        <f t="shared" si="0"/>
        <v>0.18691588785046728</v>
      </c>
      <c r="V9" s="97">
        <v>0</v>
      </c>
      <c r="W9" s="97">
        <v>0</v>
      </c>
      <c r="X9" s="97">
        <v>1</v>
      </c>
      <c r="Y9" s="97">
        <v>0</v>
      </c>
      <c r="Z9" s="97">
        <v>1</v>
      </c>
      <c r="AA9" s="97">
        <f>SUM(V9:Z9)</f>
        <v>2</v>
      </c>
      <c r="AB9" s="99">
        <f t="shared" si="1"/>
        <v>0.37383177570093457</v>
      </c>
      <c r="AC9" s="101">
        <v>0</v>
      </c>
      <c r="AD9" s="101">
        <v>0</v>
      </c>
      <c r="AE9" s="101">
        <v>5</v>
      </c>
    </row>
    <row r="10" spans="1:36" ht="23.4" thickBot="1" x14ac:dyDescent="0.3">
      <c r="A10" s="139" t="s">
        <v>23</v>
      </c>
      <c r="B10" s="97">
        <v>923</v>
      </c>
      <c r="C10" s="97">
        <v>180</v>
      </c>
      <c r="D10" s="97">
        <v>931</v>
      </c>
      <c r="E10" s="137">
        <v>873</v>
      </c>
      <c r="F10" s="97">
        <v>336</v>
      </c>
      <c r="G10" s="98">
        <f>SUM(B10:F10)</f>
        <v>3243</v>
      </c>
      <c r="H10" s="97">
        <v>0</v>
      </c>
      <c r="I10" s="97">
        <v>0</v>
      </c>
      <c r="J10" s="97">
        <v>1</v>
      </c>
      <c r="K10" s="97">
        <v>2</v>
      </c>
      <c r="L10" s="97">
        <v>4</v>
      </c>
      <c r="M10" s="97">
        <f>SUM(H10:L10)</f>
        <v>7</v>
      </c>
      <c r="N10" s="99">
        <f>M10*100/G10</f>
        <v>0.21584952204748689</v>
      </c>
      <c r="O10" s="97">
        <v>2</v>
      </c>
      <c r="P10" s="97">
        <v>3</v>
      </c>
      <c r="Q10" s="97">
        <v>3</v>
      </c>
      <c r="R10" s="97">
        <v>1</v>
      </c>
      <c r="S10" s="97">
        <v>4</v>
      </c>
      <c r="T10" s="100">
        <f>SUM(O10:S10)</f>
        <v>13</v>
      </c>
      <c r="U10" s="99">
        <f t="shared" si="0"/>
        <v>0.40086339808818994</v>
      </c>
      <c r="V10" s="97">
        <v>0</v>
      </c>
      <c r="W10" s="97">
        <v>0</v>
      </c>
      <c r="X10" s="97">
        <v>2</v>
      </c>
      <c r="Y10" s="97">
        <v>3</v>
      </c>
      <c r="Z10" s="97">
        <v>0</v>
      </c>
      <c r="AA10" s="97">
        <f>SUM(V10:Z10)</f>
        <v>5</v>
      </c>
      <c r="AB10" s="99">
        <f t="shared" si="1"/>
        <v>0.1541782300339192</v>
      </c>
      <c r="AC10" s="101">
        <v>3</v>
      </c>
      <c r="AD10" s="101">
        <v>0</v>
      </c>
      <c r="AE10" s="101">
        <v>56</v>
      </c>
    </row>
    <row r="11" spans="1:36" s="132" customFormat="1" ht="14.4" thickBot="1" x14ac:dyDescent="0.3">
      <c r="A11" s="124" t="s">
        <v>21</v>
      </c>
      <c r="B11" s="105">
        <f>SUM(B6:B10)</f>
        <v>2106</v>
      </c>
      <c r="C11" s="105">
        <f>SUM(C6:C10)</f>
        <v>477</v>
      </c>
      <c r="D11" s="105">
        <f>SUM(D6:D10)</f>
        <v>2109</v>
      </c>
      <c r="E11" s="105">
        <f>SUM(E6:E10)</f>
        <v>1827</v>
      </c>
      <c r="F11" s="105">
        <f>SUM(F6:F10)</f>
        <v>770</v>
      </c>
      <c r="G11" s="102">
        <f t="shared" ref="G11:M11" si="2">SUM(G6:G10)</f>
        <v>7289</v>
      </c>
      <c r="H11" s="111">
        <f>SUM(H6:H10)</f>
        <v>1</v>
      </c>
      <c r="I11" s="111">
        <f>SUM(I6:I10)</f>
        <v>1</v>
      </c>
      <c r="J11" s="111">
        <f t="shared" si="2"/>
        <v>1</v>
      </c>
      <c r="K11" s="111">
        <f t="shared" si="2"/>
        <v>5</v>
      </c>
      <c r="L11" s="111">
        <f t="shared" si="2"/>
        <v>6</v>
      </c>
      <c r="M11" s="103">
        <f t="shared" si="2"/>
        <v>14</v>
      </c>
      <c r="N11" s="104">
        <f t="shared" ref="N11:N43" si="3">M11*100/G11</f>
        <v>0.19207024283166416</v>
      </c>
      <c r="O11" s="105">
        <f t="shared" ref="O11:T11" si="4">SUM(O6:O10)</f>
        <v>6</v>
      </c>
      <c r="P11" s="105">
        <f t="shared" si="4"/>
        <v>6</v>
      </c>
      <c r="Q11" s="105">
        <f t="shared" si="4"/>
        <v>10</v>
      </c>
      <c r="R11" s="105">
        <f>SUM(R6:R10)</f>
        <v>5</v>
      </c>
      <c r="S11" s="105">
        <f t="shared" si="4"/>
        <v>6</v>
      </c>
      <c r="T11" s="103">
        <f t="shared" si="4"/>
        <v>33</v>
      </c>
      <c r="U11" s="104">
        <f t="shared" si="0"/>
        <v>0.45273700096035119</v>
      </c>
      <c r="V11" s="105">
        <f t="shared" ref="V11:AA11" si="5">SUM(V6:V10)</f>
        <v>0</v>
      </c>
      <c r="W11" s="105">
        <f t="shared" si="5"/>
        <v>0</v>
      </c>
      <c r="X11" s="105">
        <f t="shared" si="5"/>
        <v>12</v>
      </c>
      <c r="Y11" s="105">
        <f>SUM(Y6:Y10)</f>
        <v>5</v>
      </c>
      <c r="Z11" s="105">
        <f t="shared" si="5"/>
        <v>2</v>
      </c>
      <c r="AA11" s="106">
        <f t="shared" si="5"/>
        <v>19</v>
      </c>
      <c r="AB11" s="104">
        <f t="shared" si="1"/>
        <v>0.26066675812868706</v>
      </c>
      <c r="AC11" s="107">
        <f>SUM(AC6:AC10)</f>
        <v>5</v>
      </c>
      <c r="AD11" s="107">
        <f>SUM(AD6:AD10)</f>
        <v>4</v>
      </c>
      <c r="AE11" s="107">
        <f>SUM(AE6:AE10)</f>
        <v>140</v>
      </c>
    </row>
    <row r="12" spans="1:3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6" ht="14.4" thickBot="1" x14ac:dyDescent="0.3">
      <c r="A14" s="89" t="s">
        <v>4</v>
      </c>
      <c r="B14" s="97">
        <v>20</v>
      </c>
      <c r="C14" s="97">
        <v>3</v>
      </c>
      <c r="D14" s="97">
        <v>30</v>
      </c>
      <c r="E14" s="97">
        <v>37</v>
      </c>
      <c r="F14" s="97">
        <v>14</v>
      </c>
      <c r="G14" s="98">
        <f>SUM(B14:F14)</f>
        <v>104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f>SUM(O14:S14)</f>
        <v>0</v>
      </c>
      <c r="U14" s="99">
        <f t="shared" si="0"/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 t="shared" si="1"/>
        <v>0</v>
      </c>
      <c r="AC14" s="101">
        <v>0</v>
      </c>
      <c r="AD14" s="101">
        <v>0</v>
      </c>
      <c r="AE14" s="101">
        <v>2</v>
      </c>
    </row>
    <row r="15" spans="1:36" ht="14.4" thickBot="1" x14ac:dyDescent="0.3">
      <c r="A15" s="89" t="s">
        <v>5</v>
      </c>
      <c r="B15" s="97">
        <v>191</v>
      </c>
      <c r="C15" s="97">
        <v>42</v>
      </c>
      <c r="D15" s="97">
        <v>238</v>
      </c>
      <c r="E15" s="97">
        <v>287</v>
      </c>
      <c r="F15" s="97">
        <v>93</v>
      </c>
      <c r="G15" s="98">
        <f t="shared" ref="G15:G24" si="6">SUM(B15:F15)</f>
        <v>851</v>
      </c>
      <c r="H15" s="97">
        <v>0</v>
      </c>
      <c r="I15" s="97">
        <v>0</v>
      </c>
      <c r="J15" s="97">
        <v>1</v>
      </c>
      <c r="K15" s="97">
        <v>1</v>
      </c>
      <c r="L15" s="97">
        <v>1</v>
      </c>
      <c r="M15" s="97">
        <v>2</v>
      </c>
      <c r="N15" s="99">
        <f t="shared" si="3"/>
        <v>0.23501762632197415</v>
      </c>
      <c r="O15" s="97">
        <v>0</v>
      </c>
      <c r="P15" s="97">
        <v>1</v>
      </c>
      <c r="Q15" s="97">
        <v>5</v>
      </c>
      <c r="R15" s="97">
        <v>2</v>
      </c>
      <c r="S15" s="97">
        <v>1</v>
      </c>
      <c r="T15" s="97">
        <f t="shared" ref="T15:T24" si="7">SUM(O15:S15)</f>
        <v>9</v>
      </c>
      <c r="U15" s="99">
        <f t="shared" si="0"/>
        <v>1.0575793184488838</v>
      </c>
      <c r="V15" s="97">
        <v>0</v>
      </c>
      <c r="W15" s="97">
        <v>0</v>
      </c>
      <c r="X15" s="97">
        <v>1</v>
      </c>
      <c r="Y15" s="97">
        <v>1</v>
      </c>
      <c r="Z15" s="97">
        <v>0</v>
      </c>
      <c r="AA15" s="97">
        <f t="shared" ref="AA15:AA24" si="8">SUM(V15:Z15)</f>
        <v>2</v>
      </c>
      <c r="AB15" s="99">
        <f t="shared" si="1"/>
        <v>0.23501762632197415</v>
      </c>
      <c r="AC15" s="101">
        <v>1</v>
      </c>
      <c r="AD15" s="101">
        <v>0</v>
      </c>
      <c r="AE15" s="101">
        <v>12</v>
      </c>
    </row>
    <row r="16" spans="1:36" ht="14.4" thickBot="1" x14ac:dyDescent="0.3">
      <c r="A16" s="89" t="s">
        <v>6</v>
      </c>
      <c r="B16" s="109">
        <v>66</v>
      </c>
      <c r="C16" s="97">
        <v>27</v>
      </c>
      <c r="D16" s="97">
        <v>67</v>
      </c>
      <c r="E16" s="97">
        <v>51</v>
      </c>
      <c r="F16" s="97">
        <v>35</v>
      </c>
      <c r="G16" s="98">
        <f t="shared" si="6"/>
        <v>246</v>
      </c>
      <c r="H16" s="97">
        <v>1</v>
      </c>
      <c r="I16" s="97">
        <v>0</v>
      </c>
      <c r="J16" s="97">
        <v>0</v>
      </c>
      <c r="K16" s="97">
        <v>0</v>
      </c>
      <c r="L16" s="97">
        <v>0</v>
      </c>
      <c r="M16" s="101">
        <f t="shared" ref="M16:M24" si="9">SUM(H16:L16)</f>
        <v>1</v>
      </c>
      <c r="N16" s="99">
        <f t="shared" si="3"/>
        <v>0.4065040650406504</v>
      </c>
      <c r="O16" s="97">
        <v>0</v>
      </c>
      <c r="P16" s="97">
        <v>0</v>
      </c>
      <c r="Q16" s="97">
        <v>0</v>
      </c>
      <c r="R16" s="97">
        <v>1</v>
      </c>
      <c r="S16" s="97">
        <v>0</v>
      </c>
      <c r="T16" s="97">
        <f t="shared" si="7"/>
        <v>1</v>
      </c>
      <c r="U16" s="99">
        <f t="shared" si="0"/>
        <v>0.4065040650406504</v>
      </c>
      <c r="V16" s="97">
        <v>0</v>
      </c>
      <c r="W16" s="97">
        <v>0</v>
      </c>
      <c r="X16" s="97">
        <v>3</v>
      </c>
      <c r="Y16" s="97">
        <v>0</v>
      </c>
      <c r="Z16" s="97">
        <v>0</v>
      </c>
      <c r="AA16" s="97">
        <f t="shared" si="8"/>
        <v>3</v>
      </c>
      <c r="AB16" s="99">
        <f t="shared" si="1"/>
        <v>1.2195121951219512</v>
      </c>
      <c r="AC16" s="101">
        <v>0</v>
      </c>
      <c r="AD16" s="101">
        <v>0</v>
      </c>
      <c r="AE16" s="101">
        <v>5</v>
      </c>
    </row>
    <row r="17" spans="1:34" ht="14.4" thickBot="1" x14ac:dyDescent="0.3">
      <c r="A17" s="89" t="s">
        <v>7</v>
      </c>
      <c r="B17" s="97">
        <v>31</v>
      </c>
      <c r="C17" s="97">
        <v>13</v>
      </c>
      <c r="D17" s="97">
        <v>38</v>
      </c>
      <c r="E17" s="97">
        <v>24</v>
      </c>
      <c r="F17" s="97">
        <v>22</v>
      </c>
      <c r="G17" s="98">
        <f t="shared" si="6"/>
        <v>128</v>
      </c>
      <c r="H17" s="97">
        <v>0</v>
      </c>
      <c r="I17" s="97">
        <v>0</v>
      </c>
      <c r="J17" s="97">
        <v>0</v>
      </c>
      <c r="K17" s="97">
        <v>1</v>
      </c>
      <c r="L17" s="97">
        <v>0</v>
      </c>
      <c r="M17" s="97">
        <f t="shared" si="9"/>
        <v>1</v>
      </c>
      <c r="N17" s="99">
        <f t="shared" si="3"/>
        <v>0.78125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f t="shared" si="7"/>
        <v>0</v>
      </c>
      <c r="U17" s="99">
        <f t="shared" si="0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101">
        <f t="shared" si="8"/>
        <v>0</v>
      </c>
      <c r="AB17" s="99">
        <f t="shared" si="1"/>
        <v>0</v>
      </c>
      <c r="AC17" s="101">
        <v>0</v>
      </c>
      <c r="AD17" s="101">
        <v>0</v>
      </c>
      <c r="AE17" s="101">
        <v>1</v>
      </c>
    </row>
    <row r="18" spans="1:34" ht="14.4" thickBot="1" x14ac:dyDescent="0.3">
      <c r="A18" s="89" t="s">
        <v>8</v>
      </c>
      <c r="B18" s="97">
        <v>7</v>
      </c>
      <c r="C18" s="97">
        <v>1</v>
      </c>
      <c r="D18" s="97">
        <v>5</v>
      </c>
      <c r="E18" s="97">
        <v>6</v>
      </c>
      <c r="F18" s="97">
        <v>3</v>
      </c>
      <c r="G18" s="98">
        <f t="shared" si="6"/>
        <v>22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 t="shared" si="9"/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f t="shared" si="7"/>
        <v>0</v>
      </c>
      <c r="U18" s="99">
        <f t="shared" si="0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 t="shared" si="8"/>
        <v>0</v>
      </c>
      <c r="AB18" s="99">
        <f t="shared" si="1"/>
        <v>0</v>
      </c>
      <c r="AC18" s="101">
        <v>0</v>
      </c>
      <c r="AD18" s="101">
        <v>0</v>
      </c>
      <c r="AE18" s="101">
        <v>0</v>
      </c>
    </row>
    <row r="19" spans="1:34" ht="14.4" thickBot="1" x14ac:dyDescent="0.3">
      <c r="A19" s="89" t="s">
        <v>9</v>
      </c>
      <c r="B19" s="97">
        <v>19</v>
      </c>
      <c r="C19" s="97">
        <v>7</v>
      </c>
      <c r="D19" s="97">
        <v>19</v>
      </c>
      <c r="E19" s="97">
        <v>15</v>
      </c>
      <c r="F19" s="97">
        <v>7</v>
      </c>
      <c r="G19" s="98">
        <f t="shared" si="6"/>
        <v>67</v>
      </c>
      <c r="H19" s="97">
        <v>0</v>
      </c>
      <c r="I19" s="97">
        <v>0</v>
      </c>
      <c r="J19" s="97">
        <v>1</v>
      </c>
      <c r="K19" s="97">
        <v>0</v>
      </c>
      <c r="L19" s="97">
        <v>0</v>
      </c>
      <c r="M19" s="101">
        <f t="shared" si="9"/>
        <v>1</v>
      </c>
      <c r="N19" s="99">
        <f t="shared" si="3"/>
        <v>1.4925373134328359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7"/>
        <v>0</v>
      </c>
      <c r="U19" s="99">
        <f t="shared" si="0"/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f t="shared" si="8"/>
        <v>0</v>
      </c>
      <c r="AB19" s="99">
        <f t="shared" si="1"/>
        <v>0</v>
      </c>
      <c r="AC19" s="101">
        <v>0</v>
      </c>
      <c r="AD19" s="101">
        <v>0</v>
      </c>
      <c r="AE19" s="101">
        <v>0</v>
      </c>
    </row>
    <row r="20" spans="1:34" ht="14.4" thickBot="1" x14ac:dyDescent="0.3">
      <c r="A20" s="89" t="s">
        <v>10</v>
      </c>
      <c r="B20" s="97">
        <v>11</v>
      </c>
      <c r="C20" s="97">
        <v>6</v>
      </c>
      <c r="D20" s="97">
        <v>14</v>
      </c>
      <c r="E20" s="97">
        <v>21</v>
      </c>
      <c r="F20" s="97">
        <v>3</v>
      </c>
      <c r="G20" s="98">
        <f t="shared" si="6"/>
        <v>55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9"/>
        <v>0</v>
      </c>
      <c r="N20" s="99">
        <f t="shared" si="3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7"/>
        <v>0</v>
      </c>
      <c r="U20" s="99">
        <f t="shared" si="0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8"/>
        <v>0</v>
      </c>
      <c r="AB20" s="99">
        <f t="shared" si="1"/>
        <v>0</v>
      </c>
      <c r="AC20" s="101">
        <v>0</v>
      </c>
      <c r="AD20" s="101">
        <v>0</v>
      </c>
      <c r="AE20" s="101">
        <v>0</v>
      </c>
    </row>
    <row r="21" spans="1:34" ht="14.4" thickBot="1" x14ac:dyDescent="0.3">
      <c r="A21" s="89" t="s">
        <v>11</v>
      </c>
      <c r="B21" s="97">
        <v>80</v>
      </c>
      <c r="C21" s="97">
        <v>6</v>
      </c>
      <c r="D21" s="97">
        <v>83</v>
      </c>
      <c r="E21" s="97">
        <v>114</v>
      </c>
      <c r="F21" s="97">
        <v>40</v>
      </c>
      <c r="G21" s="98">
        <f t="shared" si="6"/>
        <v>323</v>
      </c>
      <c r="H21" s="97">
        <v>0</v>
      </c>
      <c r="I21" s="97">
        <v>0</v>
      </c>
      <c r="J21" s="97">
        <v>0</v>
      </c>
      <c r="K21" s="97">
        <v>1</v>
      </c>
      <c r="L21" s="97">
        <v>0</v>
      </c>
      <c r="M21" s="97">
        <f t="shared" si="9"/>
        <v>1</v>
      </c>
      <c r="N21" s="99">
        <f t="shared" si="3"/>
        <v>0.30959752321981426</v>
      </c>
      <c r="O21" s="97">
        <v>0</v>
      </c>
      <c r="P21" s="97">
        <v>0</v>
      </c>
      <c r="Q21" s="97">
        <v>1</v>
      </c>
      <c r="R21" s="97">
        <v>2</v>
      </c>
      <c r="S21" s="97">
        <v>0</v>
      </c>
      <c r="T21" s="97">
        <f t="shared" si="7"/>
        <v>3</v>
      </c>
      <c r="U21" s="99">
        <f t="shared" si="0"/>
        <v>0.92879256965944268</v>
      </c>
      <c r="V21" s="97">
        <v>0</v>
      </c>
      <c r="W21" s="97">
        <v>0</v>
      </c>
      <c r="X21" s="97">
        <v>0</v>
      </c>
      <c r="Y21" s="97">
        <v>0</v>
      </c>
      <c r="Z21" s="97">
        <v>3</v>
      </c>
      <c r="AA21" s="97">
        <f t="shared" si="8"/>
        <v>3</v>
      </c>
      <c r="AB21" s="99">
        <f t="shared" si="1"/>
        <v>0.92879256965944268</v>
      </c>
      <c r="AC21" s="101">
        <v>0</v>
      </c>
      <c r="AD21" s="101">
        <v>0</v>
      </c>
      <c r="AE21" s="101">
        <v>6</v>
      </c>
    </row>
    <row r="22" spans="1:34" ht="14.4" thickBot="1" x14ac:dyDescent="0.3">
      <c r="A22" s="89" t="s">
        <v>12</v>
      </c>
      <c r="B22" s="97">
        <v>1287</v>
      </c>
      <c r="C22" s="97">
        <v>502</v>
      </c>
      <c r="D22" s="97">
        <v>1720</v>
      </c>
      <c r="E22" s="97">
        <v>1582</v>
      </c>
      <c r="F22" s="97">
        <v>794</v>
      </c>
      <c r="G22" s="98">
        <f t="shared" si="6"/>
        <v>5885</v>
      </c>
      <c r="H22" s="97">
        <v>6</v>
      </c>
      <c r="I22" s="97">
        <v>2</v>
      </c>
      <c r="J22" s="97">
        <v>6</v>
      </c>
      <c r="K22" s="97">
        <v>4</v>
      </c>
      <c r="L22" s="97">
        <v>3</v>
      </c>
      <c r="M22" s="97">
        <f t="shared" si="9"/>
        <v>21</v>
      </c>
      <c r="N22" s="99">
        <f t="shared" si="3"/>
        <v>0.356839422259983</v>
      </c>
      <c r="O22" s="97">
        <v>5</v>
      </c>
      <c r="P22" s="97">
        <v>2</v>
      </c>
      <c r="Q22" s="97">
        <v>5</v>
      </c>
      <c r="R22" s="97">
        <v>6</v>
      </c>
      <c r="S22" s="97">
        <v>3</v>
      </c>
      <c r="T22" s="97">
        <f t="shared" si="7"/>
        <v>21</v>
      </c>
      <c r="U22" s="99">
        <f t="shared" si="0"/>
        <v>0.356839422259983</v>
      </c>
      <c r="V22" s="97">
        <v>1</v>
      </c>
      <c r="W22" s="97">
        <v>1</v>
      </c>
      <c r="X22" s="97">
        <v>8</v>
      </c>
      <c r="Y22" s="97">
        <v>2</v>
      </c>
      <c r="Z22" s="97">
        <v>5</v>
      </c>
      <c r="AA22" s="97">
        <f t="shared" si="8"/>
        <v>17</v>
      </c>
      <c r="AB22" s="99">
        <f t="shared" si="1"/>
        <v>0.28887000849617672</v>
      </c>
      <c r="AC22" s="101">
        <v>9</v>
      </c>
      <c r="AD22" s="101">
        <v>3</v>
      </c>
      <c r="AE22" s="101">
        <v>94</v>
      </c>
    </row>
    <row r="23" spans="1:34" ht="14.4" thickBot="1" x14ac:dyDescent="0.3">
      <c r="A23" s="89" t="s">
        <v>13</v>
      </c>
      <c r="B23" s="97">
        <v>9</v>
      </c>
      <c r="C23" s="97">
        <v>2</v>
      </c>
      <c r="D23" s="97">
        <v>5</v>
      </c>
      <c r="E23" s="97">
        <v>1</v>
      </c>
      <c r="F23" s="97">
        <v>6</v>
      </c>
      <c r="G23" s="98">
        <f t="shared" si="6"/>
        <v>23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 t="shared" si="9"/>
        <v>0</v>
      </c>
      <c r="N23" s="99">
        <f t="shared" si="3"/>
        <v>0</v>
      </c>
      <c r="O23" s="97">
        <v>0</v>
      </c>
      <c r="P23" s="97">
        <v>0</v>
      </c>
      <c r="Q23" s="97">
        <v>0</v>
      </c>
      <c r="R23" s="97">
        <v>0</v>
      </c>
      <c r="S23" s="97">
        <v>0</v>
      </c>
      <c r="T23" s="97">
        <f t="shared" si="7"/>
        <v>0</v>
      </c>
      <c r="U23" s="99">
        <f t="shared" si="0"/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 t="shared" si="8"/>
        <v>0</v>
      </c>
      <c r="AB23" s="99">
        <f t="shared" si="1"/>
        <v>0</v>
      </c>
      <c r="AC23" s="101">
        <v>2</v>
      </c>
      <c r="AD23" s="101">
        <v>0</v>
      </c>
      <c r="AE23" s="101">
        <v>0</v>
      </c>
    </row>
    <row r="24" spans="1:34" ht="23.4" thickBot="1" x14ac:dyDescent="0.3">
      <c r="A24" s="139" t="s">
        <v>23</v>
      </c>
      <c r="B24" s="110">
        <v>469</v>
      </c>
      <c r="C24" s="110">
        <v>142</v>
      </c>
      <c r="D24" s="97">
        <v>551</v>
      </c>
      <c r="E24" s="110">
        <v>518</v>
      </c>
      <c r="F24" s="97">
        <v>207</v>
      </c>
      <c r="G24" s="98">
        <f t="shared" si="6"/>
        <v>1887</v>
      </c>
      <c r="H24" s="110">
        <v>0</v>
      </c>
      <c r="I24" s="97">
        <v>0</v>
      </c>
      <c r="J24" s="97">
        <v>0</v>
      </c>
      <c r="K24" s="97">
        <v>2</v>
      </c>
      <c r="L24" s="97">
        <v>1</v>
      </c>
      <c r="M24" s="97">
        <f t="shared" si="9"/>
        <v>3</v>
      </c>
      <c r="N24" s="99">
        <f t="shared" si="3"/>
        <v>0.1589825119236884</v>
      </c>
      <c r="O24" s="110">
        <v>0</v>
      </c>
      <c r="P24" s="97">
        <v>2</v>
      </c>
      <c r="Q24" s="110">
        <v>1</v>
      </c>
      <c r="R24" s="110">
        <v>2</v>
      </c>
      <c r="S24" s="97">
        <v>0</v>
      </c>
      <c r="T24" s="97">
        <f t="shared" si="7"/>
        <v>5</v>
      </c>
      <c r="U24" s="99">
        <f t="shared" si="0"/>
        <v>0.26497085320614733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97">
        <f t="shared" si="8"/>
        <v>0</v>
      </c>
      <c r="AB24" s="99">
        <f t="shared" si="1"/>
        <v>0</v>
      </c>
      <c r="AC24" s="101">
        <v>0</v>
      </c>
      <c r="AD24" s="101">
        <v>0</v>
      </c>
      <c r="AE24" s="101">
        <v>10</v>
      </c>
    </row>
    <row r="25" spans="1:34" s="132" customFormat="1" ht="14.4" thickBot="1" x14ac:dyDescent="0.3">
      <c r="A25" s="128" t="s">
        <v>22</v>
      </c>
      <c r="B25" s="111">
        <f t="shared" ref="B25:I25" si="10">SUM(B14:B24)</f>
        <v>2190</v>
      </c>
      <c r="C25" s="111">
        <f t="shared" si="10"/>
        <v>751</v>
      </c>
      <c r="D25" s="111">
        <f t="shared" si="10"/>
        <v>2770</v>
      </c>
      <c r="E25" s="111">
        <f t="shared" si="10"/>
        <v>2656</v>
      </c>
      <c r="F25" s="111">
        <f t="shared" si="10"/>
        <v>1224</v>
      </c>
      <c r="G25" s="102">
        <f t="shared" si="10"/>
        <v>9591</v>
      </c>
      <c r="H25" s="111">
        <f t="shared" si="10"/>
        <v>7</v>
      </c>
      <c r="I25" s="111">
        <f t="shared" si="10"/>
        <v>2</v>
      </c>
      <c r="J25" s="111">
        <f t="shared" ref="J25:L25" si="11">SUM(J14:J24)</f>
        <v>8</v>
      </c>
      <c r="K25" s="111">
        <f t="shared" si="11"/>
        <v>9</v>
      </c>
      <c r="L25" s="111">
        <f t="shared" si="11"/>
        <v>5</v>
      </c>
      <c r="M25" s="103">
        <f>SUM(M14:M24)</f>
        <v>30</v>
      </c>
      <c r="N25" s="104">
        <f t="shared" si="3"/>
        <v>0.3127932436659368</v>
      </c>
      <c r="O25" s="111">
        <f t="shared" ref="O25:T25" si="12">SUM(O14:O24)</f>
        <v>5</v>
      </c>
      <c r="P25" s="111">
        <f t="shared" si="12"/>
        <v>5</v>
      </c>
      <c r="Q25" s="111">
        <f t="shared" si="12"/>
        <v>12</v>
      </c>
      <c r="R25" s="111">
        <f>SUM(R14:R24)</f>
        <v>13</v>
      </c>
      <c r="S25" s="111">
        <f t="shared" si="12"/>
        <v>4</v>
      </c>
      <c r="T25" s="103">
        <f t="shared" si="12"/>
        <v>39</v>
      </c>
      <c r="U25" s="104">
        <f t="shared" si="0"/>
        <v>0.40663121676571784</v>
      </c>
      <c r="V25" s="111">
        <f t="shared" ref="V25:AA25" si="13">SUM(V14:V24)</f>
        <v>1</v>
      </c>
      <c r="W25" s="111">
        <f t="shared" si="13"/>
        <v>1</v>
      </c>
      <c r="X25" s="111">
        <f t="shared" si="13"/>
        <v>12</v>
      </c>
      <c r="Y25" s="111">
        <f t="shared" si="13"/>
        <v>3</v>
      </c>
      <c r="Z25" s="111">
        <f t="shared" si="13"/>
        <v>8</v>
      </c>
      <c r="AA25" s="103">
        <f t="shared" si="13"/>
        <v>25</v>
      </c>
      <c r="AB25" s="104">
        <f t="shared" si="1"/>
        <v>0.2606610363882807</v>
      </c>
      <c r="AC25" s="107">
        <f>SUM(AC14:AC24)</f>
        <v>12</v>
      </c>
      <c r="AD25" s="107">
        <f>SUM(AD14:AD24)</f>
        <v>3</v>
      </c>
      <c r="AE25" s="107">
        <f>SUM(AE14:AE24)</f>
        <v>130</v>
      </c>
    </row>
    <row r="26" spans="1:34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4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4" ht="14.4" thickBot="1" x14ac:dyDescent="0.3">
      <c r="A28" s="89" t="s">
        <v>15</v>
      </c>
      <c r="B28" s="97">
        <v>3398</v>
      </c>
      <c r="C28" s="97">
        <v>1973</v>
      </c>
      <c r="D28" s="97">
        <v>3362</v>
      </c>
      <c r="E28" s="97">
        <v>3371</v>
      </c>
      <c r="F28" s="97">
        <v>3095</v>
      </c>
      <c r="G28" s="98">
        <f>SUM(B28:F28)</f>
        <v>15199</v>
      </c>
      <c r="H28" s="97">
        <v>0</v>
      </c>
      <c r="I28" s="97">
        <v>1</v>
      </c>
      <c r="J28" s="97">
        <v>1</v>
      </c>
      <c r="K28" s="97">
        <v>2</v>
      </c>
      <c r="L28" s="97">
        <v>4</v>
      </c>
      <c r="M28" s="97">
        <f>SUM(H28:L28)</f>
        <v>8</v>
      </c>
      <c r="N28" s="99">
        <f t="shared" si="3"/>
        <v>5.2635041779064411E-2</v>
      </c>
      <c r="O28" s="97">
        <v>3</v>
      </c>
      <c r="P28" s="97">
        <v>1</v>
      </c>
      <c r="Q28" s="97">
        <v>2</v>
      </c>
      <c r="R28" s="97">
        <v>5</v>
      </c>
      <c r="S28" s="97">
        <v>1</v>
      </c>
      <c r="T28" s="97">
        <f>SUM(O28:S28)</f>
        <v>12</v>
      </c>
      <c r="U28" s="99">
        <f t="shared" si="0"/>
        <v>7.8952562668596613E-2</v>
      </c>
      <c r="V28" s="97">
        <v>1</v>
      </c>
      <c r="W28" s="97">
        <v>0</v>
      </c>
      <c r="X28" s="97">
        <v>3</v>
      </c>
      <c r="Y28" s="97">
        <v>3</v>
      </c>
      <c r="Z28" s="97">
        <v>0</v>
      </c>
      <c r="AA28" s="97">
        <f>SUM(V28:Z28)</f>
        <v>7</v>
      </c>
      <c r="AB28" s="99">
        <f t="shared" si="1"/>
        <v>4.6055661556681358E-2</v>
      </c>
      <c r="AC28" s="101">
        <v>1</v>
      </c>
      <c r="AD28" s="101">
        <v>0</v>
      </c>
      <c r="AE28" s="101">
        <v>33</v>
      </c>
    </row>
    <row r="29" spans="1:34" ht="14.4" thickBot="1" x14ac:dyDescent="0.3">
      <c r="A29" s="89" t="s">
        <v>16</v>
      </c>
      <c r="B29" s="97">
        <v>1362</v>
      </c>
      <c r="C29" s="97">
        <v>772</v>
      </c>
      <c r="D29" s="97">
        <v>1730</v>
      </c>
      <c r="E29" s="97">
        <v>1486</v>
      </c>
      <c r="F29" s="97">
        <v>1011</v>
      </c>
      <c r="G29" s="98">
        <f t="shared" ref="G29:G36" si="14">SUM(B29:F29)</f>
        <v>6361</v>
      </c>
      <c r="H29" s="97">
        <v>1</v>
      </c>
      <c r="I29" s="97">
        <v>1</v>
      </c>
      <c r="J29" s="97">
        <v>10</v>
      </c>
      <c r="K29" s="97">
        <v>7</v>
      </c>
      <c r="L29" s="97">
        <v>0</v>
      </c>
      <c r="M29" s="97">
        <f t="shared" ref="M29:M36" si="15">SUM(H29:L29)</f>
        <v>19</v>
      </c>
      <c r="N29" s="99">
        <f t="shared" si="3"/>
        <v>0.29869517371482474</v>
      </c>
      <c r="O29" s="97">
        <v>5</v>
      </c>
      <c r="P29" s="97">
        <v>4</v>
      </c>
      <c r="Q29" s="97">
        <v>5</v>
      </c>
      <c r="R29" s="97">
        <v>2</v>
      </c>
      <c r="S29" s="97">
        <v>1</v>
      </c>
      <c r="T29" s="97">
        <f t="shared" ref="T29:T36" si="16">SUM(O29:S29)</f>
        <v>17</v>
      </c>
      <c r="U29" s="99">
        <f t="shared" si="0"/>
        <v>0.2672535764816853</v>
      </c>
      <c r="V29" s="97">
        <v>2</v>
      </c>
      <c r="W29" s="97">
        <v>7</v>
      </c>
      <c r="X29" s="97">
        <v>7</v>
      </c>
      <c r="Y29" s="97">
        <v>3</v>
      </c>
      <c r="Z29" s="97">
        <v>0</v>
      </c>
      <c r="AA29" s="97">
        <f t="shared" ref="AA29:AA36" si="17">SUM(V29:Z29)</f>
        <v>19</v>
      </c>
      <c r="AB29" s="99">
        <f t="shared" si="1"/>
        <v>0.29869517371482474</v>
      </c>
      <c r="AC29" s="101">
        <v>9</v>
      </c>
      <c r="AD29" s="101">
        <v>2</v>
      </c>
      <c r="AE29" s="101">
        <v>59</v>
      </c>
    </row>
    <row r="30" spans="1:34" ht="14.4" thickBot="1" x14ac:dyDescent="0.3">
      <c r="A30" s="89" t="s">
        <v>34</v>
      </c>
      <c r="B30" s="97">
        <v>1033</v>
      </c>
      <c r="C30" s="97">
        <v>660</v>
      </c>
      <c r="D30" s="97">
        <v>899</v>
      </c>
      <c r="E30" s="97">
        <v>829</v>
      </c>
      <c r="F30" s="97">
        <v>1311</v>
      </c>
      <c r="G30" s="98">
        <f t="shared" si="14"/>
        <v>4732</v>
      </c>
      <c r="H30" s="97">
        <v>0</v>
      </c>
      <c r="I30" s="97">
        <v>0</v>
      </c>
      <c r="J30" s="97">
        <v>1</v>
      </c>
      <c r="K30" s="97">
        <v>4</v>
      </c>
      <c r="L30" s="97">
        <v>1</v>
      </c>
      <c r="M30" s="97">
        <f t="shared" si="15"/>
        <v>6</v>
      </c>
      <c r="N30" s="99">
        <f t="shared" si="3"/>
        <v>0.12679628064243448</v>
      </c>
      <c r="O30" s="97">
        <v>3</v>
      </c>
      <c r="P30" s="97">
        <v>1</v>
      </c>
      <c r="Q30" s="97">
        <v>9</v>
      </c>
      <c r="R30" s="97">
        <v>10</v>
      </c>
      <c r="S30" s="97">
        <v>2</v>
      </c>
      <c r="T30" s="97">
        <f t="shared" si="16"/>
        <v>25</v>
      </c>
      <c r="U30" s="99">
        <f t="shared" si="0"/>
        <v>0.5283178360101437</v>
      </c>
      <c r="V30" s="97">
        <v>1</v>
      </c>
      <c r="W30" s="97">
        <v>0</v>
      </c>
      <c r="X30" s="97">
        <v>0</v>
      </c>
      <c r="Y30" s="97">
        <v>1</v>
      </c>
      <c r="Z30" s="97">
        <v>1</v>
      </c>
      <c r="AA30" s="97">
        <f t="shared" si="17"/>
        <v>3</v>
      </c>
      <c r="AB30" s="99">
        <f t="shared" si="1"/>
        <v>6.3398140321217239E-2</v>
      </c>
      <c r="AC30" s="101">
        <v>5</v>
      </c>
      <c r="AD30" s="101">
        <v>0</v>
      </c>
      <c r="AE30" s="101">
        <v>25</v>
      </c>
    </row>
    <row r="31" spans="1:34" ht="14.4" thickBot="1" x14ac:dyDescent="0.3">
      <c r="A31" s="89" t="s">
        <v>17</v>
      </c>
      <c r="B31" s="97">
        <v>7283</v>
      </c>
      <c r="C31" s="97">
        <v>4050</v>
      </c>
      <c r="D31" s="97">
        <v>8573</v>
      </c>
      <c r="E31" s="97">
        <v>7544</v>
      </c>
      <c r="F31" s="97">
        <v>6295</v>
      </c>
      <c r="G31" s="98">
        <f t="shared" si="14"/>
        <v>33745</v>
      </c>
      <c r="H31" s="97">
        <v>1</v>
      </c>
      <c r="I31" s="97">
        <v>1</v>
      </c>
      <c r="J31" s="97">
        <v>4</v>
      </c>
      <c r="K31" s="97">
        <v>7</v>
      </c>
      <c r="L31" s="97">
        <v>1</v>
      </c>
      <c r="M31" s="97">
        <f t="shared" si="15"/>
        <v>14</v>
      </c>
      <c r="N31" s="99">
        <f t="shared" si="3"/>
        <v>4.1487627796710627E-2</v>
      </c>
      <c r="O31" s="97">
        <v>5</v>
      </c>
      <c r="P31" s="97">
        <v>1</v>
      </c>
      <c r="Q31" s="97">
        <v>10</v>
      </c>
      <c r="R31" s="97">
        <v>12</v>
      </c>
      <c r="S31" s="97">
        <v>3</v>
      </c>
      <c r="T31" s="97">
        <f t="shared" si="16"/>
        <v>31</v>
      </c>
      <c r="U31" s="99">
        <f t="shared" si="0"/>
        <v>9.1865461549859237E-2</v>
      </c>
      <c r="V31" s="97">
        <v>0</v>
      </c>
      <c r="W31" s="97">
        <v>0</v>
      </c>
      <c r="X31" s="97">
        <v>3</v>
      </c>
      <c r="Y31" s="97">
        <v>4</v>
      </c>
      <c r="Z31" s="97">
        <v>1</v>
      </c>
      <c r="AA31" s="97">
        <f t="shared" si="17"/>
        <v>8</v>
      </c>
      <c r="AB31" s="99">
        <f t="shared" si="1"/>
        <v>2.3707215883834641E-2</v>
      </c>
      <c r="AC31" s="101">
        <v>8</v>
      </c>
      <c r="AD31" s="101">
        <v>0</v>
      </c>
      <c r="AE31" s="101">
        <v>117</v>
      </c>
      <c r="AH31" t="s">
        <v>52</v>
      </c>
    </row>
    <row r="32" spans="1:34" ht="14.4" thickBot="1" x14ac:dyDescent="0.3">
      <c r="A32" s="89" t="s">
        <v>18</v>
      </c>
      <c r="B32" s="97">
        <v>1769</v>
      </c>
      <c r="C32" s="97">
        <v>1462</v>
      </c>
      <c r="D32" s="97">
        <v>1306</v>
      </c>
      <c r="E32" s="97">
        <v>1398</v>
      </c>
      <c r="F32" s="97">
        <v>2669</v>
      </c>
      <c r="G32" s="98">
        <f t="shared" si="14"/>
        <v>8604</v>
      </c>
      <c r="H32" s="97">
        <v>2</v>
      </c>
      <c r="I32" s="97">
        <v>0</v>
      </c>
      <c r="J32" s="97">
        <v>5</v>
      </c>
      <c r="K32" s="97">
        <v>3</v>
      </c>
      <c r="L32" s="97">
        <v>4</v>
      </c>
      <c r="M32" s="97">
        <f t="shared" si="15"/>
        <v>14</v>
      </c>
      <c r="N32" s="99">
        <f t="shared" si="3"/>
        <v>0.16271501627150162</v>
      </c>
      <c r="O32" s="97">
        <v>2</v>
      </c>
      <c r="P32" s="97">
        <v>1</v>
      </c>
      <c r="Q32" s="97">
        <v>4</v>
      </c>
      <c r="R32" s="97">
        <v>2</v>
      </c>
      <c r="S32" s="97">
        <v>9</v>
      </c>
      <c r="T32" s="97">
        <f t="shared" si="16"/>
        <v>18</v>
      </c>
      <c r="U32" s="99">
        <f t="shared" si="0"/>
        <v>0.20920502092050208</v>
      </c>
      <c r="V32" s="97">
        <v>0</v>
      </c>
      <c r="W32" s="97">
        <v>0</v>
      </c>
      <c r="X32" s="97">
        <v>1</v>
      </c>
      <c r="Y32" s="97">
        <v>2</v>
      </c>
      <c r="Z32" s="97">
        <v>3</v>
      </c>
      <c r="AA32" s="97">
        <f t="shared" si="17"/>
        <v>6</v>
      </c>
      <c r="AB32" s="99">
        <f t="shared" si="1"/>
        <v>6.9735006973500699E-2</v>
      </c>
      <c r="AC32" s="101">
        <v>11</v>
      </c>
      <c r="AD32" s="101">
        <v>2</v>
      </c>
      <c r="AE32" s="101">
        <v>28</v>
      </c>
    </row>
    <row r="33" spans="1:32" ht="14.4" thickBot="1" x14ac:dyDescent="0.3">
      <c r="A33" s="89" t="s">
        <v>19</v>
      </c>
      <c r="B33" s="97">
        <v>10143</v>
      </c>
      <c r="C33" s="97">
        <v>5467</v>
      </c>
      <c r="D33" s="97">
        <v>11145</v>
      </c>
      <c r="E33" s="97">
        <v>9644</v>
      </c>
      <c r="F33" s="97">
        <v>7232</v>
      </c>
      <c r="G33" s="98">
        <f t="shared" si="14"/>
        <v>43631</v>
      </c>
      <c r="H33" s="97">
        <v>25</v>
      </c>
      <c r="I33" s="97">
        <v>17</v>
      </c>
      <c r="J33" s="97">
        <v>32</v>
      </c>
      <c r="K33" s="97">
        <v>32</v>
      </c>
      <c r="L33" s="97">
        <v>7</v>
      </c>
      <c r="M33" s="97">
        <f t="shared" si="15"/>
        <v>113</v>
      </c>
      <c r="N33" s="99">
        <f t="shared" si="3"/>
        <v>0.25899016754142695</v>
      </c>
      <c r="O33" s="97">
        <v>23</v>
      </c>
      <c r="P33" s="97">
        <v>17</v>
      </c>
      <c r="Q33" s="97">
        <v>72</v>
      </c>
      <c r="R33" s="97">
        <v>40</v>
      </c>
      <c r="S33" s="97">
        <v>16</v>
      </c>
      <c r="T33" s="97">
        <f t="shared" si="16"/>
        <v>168</v>
      </c>
      <c r="U33" s="99">
        <f t="shared" si="0"/>
        <v>0.38504732873415692</v>
      </c>
      <c r="V33" s="97">
        <v>1</v>
      </c>
      <c r="W33" s="97">
        <v>11</v>
      </c>
      <c r="X33" s="97">
        <v>30</v>
      </c>
      <c r="Y33" s="97">
        <v>10</v>
      </c>
      <c r="Z33" s="97">
        <v>9</v>
      </c>
      <c r="AA33" s="97">
        <f t="shared" si="17"/>
        <v>61</v>
      </c>
      <c r="AB33" s="99">
        <f t="shared" si="1"/>
        <v>0.13980885150466413</v>
      </c>
      <c r="AC33" s="101">
        <v>47</v>
      </c>
      <c r="AD33" s="101">
        <v>4</v>
      </c>
      <c r="AE33" s="101">
        <v>321</v>
      </c>
    </row>
    <row r="34" spans="1:32" ht="14.4" thickBot="1" x14ac:dyDescent="0.3">
      <c r="A34" s="89" t="s">
        <v>20</v>
      </c>
      <c r="B34" s="97">
        <v>8096</v>
      </c>
      <c r="C34" s="97">
        <v>4259</v>
      </c>
      <c r="D34" s="97">
        <v>9078</v>
      </c>
      <c r="E34" s="97">
        <v>8425</v>
      </c>
      <c r="F34" s="97">
        <v>4651</v>
      </c>
      <c r="G34" s="98">
        <f t="shared" si="14"/>
        <v>34509</v>
      </c>
      <c r="H34" s="97">
        <v>7</v>
      </c>
      <c r="I34" s="97">
        <v>5</v>
      </c>
      <c r="J34" s="97">
        <v>18</v>
      </c>
      <c r="K34" s="97">
        <v>20</v>
      </c>
      <c r="L34" s="97">
        <v>8</v>
      </c>
      <c r="M34" s="97">
        <f t="shared" si="15"/>
        <v>58</v>
      </c>
      <c r="N34" s="99">
        <f t="shared" si="3"/>
        <v>0.16807209713408097</v>
      </c>
      <c r="O34" s="97">
        <v>10</v>
      </c>
      <c r="P34" s="97">
        <v>11</v>
      </c>
      <c r="Q34" s="97">
        <v>22</v>
      </c>
      <c r="R34" s="97">
        <v>18</v>
      </c>
      <c r="S34" s="97">
        <v>2</v>
      </c>
      <c r="T34" s="97">
        <f t="shared" si="16"/>
        <v>63</v>
      </c>
      <c r="U34" s="99">
        <f t="shared" si="0"/>
        <v>0.18256107102495001</v>
      </c>
      <c r="V34" s="97">
        <v>7</v>
      </c>
      <c r="W34" s="97">
        <v>2</v>
      </c>
      <c r="X34" s="97">
        <v>13</v>
      </c>
      <c r="Y34" s="97">
        <v>8</v>
      </c>
      <c r="Z34" s="97">
        <v>3</v>
      </c>
      <c r="AA34" s="97">
        <f t="shared" si="17"/>
        <v>33</v>
      </c>
      <c r="AB34" s="99">
        <f t="shared" si="1"/>
        <v>9.5627227679735721E-2</v>
      </c>
      <c r="AC34" s="101">
        <v>25</v>
      </c>
      <c r="AD34" s="101">
        <v>9</v>
      </c>
      <c r="AE34" s="101">
        <v>266</v>
      </c>
    </row>
    <row r="35" spans="1:32" ht="14.4" thickBot="1" x14ac:dyDescent="0.3">
      <c r="A35" s="89" t="s">
        <v>25</v>
      </c>
      <c r="B35" s="97">
        <v>8096</v>
      </c>
      <c r="C35" s="97">
        <v>78</v>
      </c>
      <c r="D35" s="97">
        <v>68</v>
      </c>
      <c r="E35" s="97">
        <v>88</v>
      </c>
      <c r="F35" s="97">
        <v>37</v>
      </c>
      <c r="G35" s="98">
        <f t="shared" si="14"/>
        <v>8367</v>
      </c>
      <c r="H35" s="97">
        <v>0</v>
      </c>
      <c r="I35" s="97">
        <v>9</v>
      </c>
      <c r="J35" s="97">
        <v>0</v>
      </c>
      <c r="K35" s="97">
        <v>2</v>
      </c>
      <c r="L35" s="97">
        <v>0</v>
      </c>
      <c r="M35" s="97">
        <f t="shared" si="15"/>
        <v>11</v>
      </c>
      <c r="N35" s="99">
        <f t="shared" si="3"/>
        <v>0.13146886578223976</v>
      </c>
      <c r="O35" s="97">
        <v>1</v>
      </c>
      <c r="P35" s="97">
        <v>8</v>
      </c>
      <c r="Q35" s="97">
        <v>1</v>
      </c>
      <c r="R35" s="97">
        <v>0</v>
      </c>
      <c r="S35" s="97">
        <v>0</v>
      </c>
      <c r="T35" s="97">
        <f t="shared" si="16"/>
        <v>10</v>
      </c>
      <c r="U35" s="99">
        <f t="shared" si="0"/>
        <v>0.11951715071112705</v>
      </c>
      <c r="V35" s="97">
        <v>0</v>
      </c>
      <c r="W35" s="97">
        <v>0</v>
      </c>
      <c r="X35" s="97">
        <v>0</v>
      </c>
      <c r="Y35" s="97">
        <v>7</v>
      </c>
      <c r="Z35" s="97">
        <v>0</v>
      </c>
      <c r="AA35" s="97">
        <f t="shared" si="17"/>
        <v>7</v>
      </c>
      <c r="AB35" s="99">
        <f t="shared" si="1"/>
        <v>8.3662005497788933E-2</v>
      </c>
      <c r="AC35" s="101">
        <v>5</v>
      </c>
      <c r="AD35" s="101">
        <v>0</v>
      </c>
      <c r="AE35" s="101">
        <v>33</v>
      </c>
    </row>
    <row r="36" spans="1:32" ht="14.4" thickBot="1" x14ac:dyDescent="0.3">
      <c r="A36" s="89" t="s">
        <v>26</v>
      </c>
      <c r="B36" s="97">
        <v>74099</v>
      </c>
      <c r="C36" s="97">
        <v>45912</v>
      </c>
      <c r="D36" s="97">
        <v>99579</v>
      </c>
      <c r="E36" s="97">
        <v>90576</v>
      </c>
      <c r="F36" s="97">
        <v>62497</v>
      </c>
      <c r="G36" s="98">
        <f t="shared" si="14"/>
        <v>372663</v>
      </c>
      <c r="H36" s="97">
        <v>68</v>
      </c>
      <c r="I36" s="97">
        <v>58</v>
      </c>
      <c r="J36" s="97">
        <v>186</v>
      </c>
      <c r="K36" s="97">
        <v>154</v>
      </c>
      <c r="L36" s="97">
        <v>49</v>
      </c>
      <c r="M36" s="97">
        <f t="shared" si="15"/>
        <v>515</v>
      </c>
      <c r="N36" s="99">
        <f t="shared" si="3"/>
        <v>0.13819456184273726</v>
      </c>
      <c r="O36" s="97">
        <v>131</v>
      </c>
      <c r="P36" s="97">
        <v>89</v>
      </c>
      <c r="Q36" s="97">
        <v>261</v>
      </c>
      <c r="R36" s="97">
        <v>180</v>
      </c>
      <c r="S36" s="97">
        <v>58</v>
      </c>
      <c r="T36" s="97">
        <f t="shared" si="16"/>
        <v>719</v>
      </c>
      <c r="U36" s="99">
        <f t="shared" si="0"/>
        <v>0.19293570866976331</v>
      </c>
      <c r="V36" s="97">
        <v>27</v>
      </c>
      <c r="W36" s="97">
        <v>19</v>
      </c>
      <c r="X36" s="97">
        <v>117</v>
      </c>
      <c r="Y36" s="97">
        <v>74</v>
      </c>
      <c r="Z36" s="97">
        <v>45</v>
      </c>
      <c r="AA36" s="97">
        <f t="shared" si="17"/>
        <v>282</v>
      </c>
      <c r="AB36" s="99">
        <f t="shared" si="1"/>
        <v>7.5671585319712451E-2</v>
      </c>
      <c r="AC36" s="101">
        <v>120</v>
      </c>
      <c r="AD36" s="101">
        <v>55</v>
      </c>
      <c r="AE36" s="97">
        <v>2550</v>
      </c>
    </row>
    <row r="37" spans="1:32" s="132" customFormat="1" ht="14.4" thickBot="1" x14ac:dyDescent="0.3">
      <c r="A37" s="128" t="s">
        <v>21</v>
      </c>
      <c r="B37" s="111">
        <f t="shared" ref="B37:M37" si="18">SUM(B28:B36)</f>
        <v>115279</v>
      </c>
      <c r="C37" s="111">
        <f t="shared" si="18"/>
        <v>64633</v>
      </c>
      <c r="D37" s="111">
        <f t="shared" si="18"/>
        <v>135740</v>
      </c>
      <c r="E37" s="111">
        <f>SUM(E28:E36)</f>
        <v>123361</v>
      </c>
      <c r="F37" s="111">
        <f t="shared" si="18"/>
        <v>88798</v>
      </c>
      <c r="G37" s="102">
        <f t="shared" si="18"/>
        <v>527811</v>
      </c>
      <c r="H37" s="111">
        <f t="shared" si="18"/>
        <v>104</v>
      </c>
      <c r="I37" s="111">
        <f t="shared" si="18"/>
        <v>92</v>
      </c>
      <c r="J37" s="111">
        <f t="shared" si="18"/>
        <v>257</v>
      </c>
      <c r="K37" s="111">
        <f>SUM(K28:K36)</f>
        <v>231</v>
      </c>
      <c r="L37" s="111">
        <f t="shared" si="18"/>
        <v>74</v>
      </c>
      <c r="M37" s="103">
        <f t="shared" si="18"/>
        <v>758</v>
      </c>
      <c r="N37" s="104">
        <f t="shared" si="3"/>
        <v>0.14361201263331003</v>
      </c>
      <c r="O37" s="111">
        <f t="shared" ref="O37:T37" si="19">SUM(O28:O36)</f>
        <v>183</v>
      </c>
      <c r="P37" s="111">
        <f t="shared" si="19"/>
        <v>133</v>
      </c>
      <c r="Q37" s="111">
        <f t="shared" si="19"/>
        <v>386</v>
      </c>
      <c r="R37" s="111">
        <f>SUM(R28:R36)</f>
        <v>269</v>
      </c>
      <c r="S37" s="111">
        <f t="shared" si="19"/>
        <v>92</v>
      </c>
      <c r="T37" s="103">
        <f t="shared" si="19"/>
        <v>1063</v>
      </c>
      <c r="U37" s="104">
        <f t="shared" si="0"/>
        <v>0.20139784885119863</v>
      </c>
      <c r="V37" s="111">
        <f t="shared" ref="V37:AA37" si="20">SUM(V28:V36)</f>
        <v>39</v>
      </c>
      <c r="W37" s="111">
        <f t="shared" si="20"/>
        <v>39</v>
      </c>
      <c r="X37" s="111">
        <f t="shared" si="20"/>
        <v>174</v>
      </c>
      <c r="Y37" s="111">
        <f>SUM(Y28:Y36)</f>
        <v>112</v>
      </c>
      <c r="Z37" s="111">
        <f t="shared" si="20"/>
        <v>62</v>
      </c>
      <c r="AA37" s="103">
        <f t="shared" si="20"/>
        <v>426</v>
      </c>
      <c r="AB37" s="104">
        <f t="shared" si="1"/>
        <v>8.0710708946952606E-2</v>
      </c>
      <c r="AC37" s="107">
        <f>SUM(AC28:AC36)</f>
        <v>231</v>
      </c>
      <c r="AD37" s="107">
        <f>SUM(AD28:AD36)</f>
        <v>72</v>
      </c>
      <c r="AE37" s="114">
        <f>SUM(AE28:AE36)</f>
        <v>3432</v>
      </c>
      <c r="AF37" s="143"/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168</v>
      </c>
      <c r="C40" s="97">
        <v>99</v>
      </c>
      <c r="D40" s="97">
        <v>166</v>
      </c>
      <c r="E40" s="97">
        <v>172</v>
      </c>
      <c r="F40" s="97">
        <v>79</v>
      </c>
      <c r="G40" s="98">
        <f>SUM(B40:F40)</f>
        <v>684</v>
      </c>
      <c r="H40" s="97">
        <v>2</v>
      </c>
      <c r="I40" s="97">
        <v>0</v>
      </c>
      <c r="J40" s="97">
        <v>2</v>
      </c>
      <c r="K40" s="97">
        <v>0</v>
      </c>
      <c r="L40" s="120">
        <v>0</v>
      </c>
      <c r="M40" s="97">
        <v>4</v>
      </c>
      <c r="N40" s="99">
        <f t="shared" si="3"/>
        <v>0.58479532163742687</v>
      </c>
      <c r="O40" s="97">
        <v>2</v>
      </c>
      <c r="P40" s="97">
        <v>1</v>
      </c>
      <c r="Q40" s="97">
        <v>4</v>
      </c>
      <c r="R40" s="97">
        <v>1</v>
      </c>
      <c r="S40" s="97">
        <v>4</v>
      </c>
      <c r="T40" s="97">
        <f>SUM(O40:S40)</f>
        <v>12</v>
      </c>
      <c r="U40" s="99">
        <f t="shared" si="0"/>
        <v>1.7543859649122806</v>
      </c>
      <c r="V40" s="133">
        <v>1</v>
      </c>
      <c r="W40" s="133">
        <v>0</v>
      </c>
      <c r="X40" s="133">
        <v>0</v>
      </c>
      <c r="Y40" s="133">
        <v>0</v>
      </c>
      <c r="Z40" s="133">
        <v>0</v>
      </c>
      <c r="AA40" s="101">
        <f>SUM(V40:Z40)</f>
        <v>1</v>
      </c>
      <c r="AB40" s="99">
        <f t="shared" si="1"/>
        <v>0.14619883040935672</v>
      </c>
      <c r="AC40" s="101">
        <v>1</v>
      </c>
      <c r="AD40" s="101">
        <v>1</v>
      </c>
      <c r="AE40" s="101">
        <v>8</v>
      </c>
    </row>
    <row r="41" spans="1:32" ht="14.4" thickBot="1" x14ac:dyDescent="0.3">
      <c r="A41" s="89" t="s">
        <v>27</v>
      </c>
      <c r="B41" s="97">
        <v>62164</v>
      </c>
      <c r="C41" s="97">
        <v>47902</v>
      </c>
      <c r="D41" s="109">
        <v>50939</v>
      </c>
      <c r="E41" s="97">
        <v>72203</v>
      </c>
      <c r="F41" s="97">
        <v>68975</v>
      </c>
      <c r="G41" s="98">
        <f>SUM(B41:F41)</f>
        <v>302183</v>
      </c>
      <c r="H41" s="97">
        <v>23</v>
      </c>
      <c r="I41" s="97">
        <v>11</v>
      </c>
      <c r="J41" s="97">
        <v>69</v>
      </c>
      <c r="K41" s="97">
        <v>36</v>
      </c>
      <c r="L41" s="97">
        <v>12</v>
      </c>
      <c r="M41" s="97">
        <f>SUM(H41:L41)</f>
        <v>151</v>
      </c>
      <c r="N41" s="99">
        <f t="shared" si="3"/>
        <v>4.9969720335028771E-2</v>
      </c>
      <c r="O41" s="97">
        <v>12</v>
      </c>
      <c r="P41" s="97">
        <v>8</v>
      </c>
      <c r="Q41" s="97">
        <v>35</v>
      </c>
      <c r="R41" s="97">
        <v>22</v>
      </c>
      <c r="S41" s="97">
        <v>7</v>
      </c>
      <c r="T41" s="97">
        <f>SUM(O41:S41)</f>
        <v>84</v>
      </c>
      <c r="U41" s="99">
        <f t="shared" si="0"/>
        <v>2.7797725219486206E-2</v>
      </c>
      <c r="V41" s="109">
        <v>2</v>
      </c>
      <c r="W41" s="109">
        <v>3</v>
      </c>
      <c r="X41" s="133">
        <v>20</v>
      </c>
      <c r="Y41" s="133">
        <v>13</v>
      </c>
      <c r="Z41" s="133">
        <v>5</v>
      </c>
      <c r="AA41" s="97">
        <f>SUM(V41:Z41)</f>
        <v>43</v>
      </c>
      <c r="AB41" s="99">
        <f t="shared" si="1"/>
        <v>1.4229787909975082E-2</v>
      </c>
      <c r="AC41" s="101">
        <v>15</v>
      </c>
      <c r="AD41" s="101">
        <v>7</v>
      </c>
      <c r="AE41" s="101">
        <v>482</v>
      </c>
    </row>
    <row r="42" spans="1:32" s="132" customFormat="1" ht="14.4" thickBot="1" x14ac:dyDescent="0.3">
      <c r="A42" s="128" t="s">
        <v>21</v>
      </c>
      <c r="B42" s="111">
        <f>SUM(B40:B41)</f>
        <v>62332</v>
      </c>
      <c r="C42" s="111">
        <f>SUM(C40:C41)</f>
        <v>48001</v>
      </c>
      <c r="D42" s="111">
        <f>SUM(D40:D41)</f>
        <v>51105</v>
      </c>
      <c r="E42" s="111">
        <f>SUM(E40:E41)</f>
        <v>72375</v>
      </c>
      <c r="F42" s="111">
        <f>SUM(F40:F41)</f>
        <v>69054</v>
      </c>
      <c r="G42" s="102">
        <f t="shared" ref="G42:M42" si="21">SUM(G40:G41)</f>
        <v>302867</v>
      </c>
      <c r="H42" s="115">
        <v>25</v>
      </c>
      <c r="I42" s="115">
        <f>SUM(I40:I41)</f>
        <v>11</v>
      </c>
      <c r="J42" s="115">
        <v>71</v>
      </c>
      <c r="K42" s="115">
        <f>SUM(K40:K41)</f>
        <v>36</v>
      </c>
      <c r="L42" s="115">
        <f>SUM(L40:L41)</f>
        <v>12</v>
      </c>
      <c r="M42" s="103">
        <f t="shared" si="21"/>
        <v>155</v>
      </c>
      <c r="N42" s="104">
        <f t="shared" si="3"/>
        <v>5.117757959764517E-2</v>
      </c>
      <c r="O42" s="111">
        <f>SUM(O40:O41)</f>
        <v>14</v>
      </c>
      <c r="P42" s="111">
        <f>SUM(P40:P41)</f>
        <v>9</v>
      </c>
      <c r="Q42" s="111">
        <f>SUM(Q40:Q41)</f>
        <v>39</v>
      </c>
      <c r="R42" s="111">
        <f>SUM(R40:R41)</f>
        <v>23</v>
      </c>
      <c r="S42" s="111">
        <v>10</v>
      </c>
      <c r="T42" s="103">
        <f>SUM(T40:T41)</f>
        <v>96</v>
      </c>
      <c r="U42" s="104">
        <f t="shared" si="0"/>
        <v>3.1697081557251205E-2</v>
      </c>
      <c r="V42" s="116">
        <f t="shared" ref="V42:AA42" si="22">SUM(V40:V41)</f>
        <v>3</v>
      </c>
      <c r="W42" s="116">
        <f t="shared" si="22"/>
        <v>3</v>
      </c>
      <c r="X42" s="116">
        <f t="shared" si="22"/>
        <v>20</v>
      </c>
      <c r="Y42" s="116">
        <f>SUM(Y40:Y41)</f>
        <v>13</v>
      </c>
      <c r="Z42" s="116">
        <f t="shared" si="22"/>
        <v>5</v>
      </c>
      <c r="AA42" s="106">
        <f t="shared" si="22"/>
        <v>44</v>
      </c>
      <c r="AB42" s="104">
        <f t="shared" si="1"/>
        <v>1.4527829047073467E-2</v>
      </c>
      <c r="AC42" s="107">
        <f>SUM(AC40:AC41)</f>
        <v>16</v>
      </c>
      <c r="AD42" s="107">
        <f>SUM(AD40:AD41)</f>
        <v>8</v>
      </c>
      <c r="AE42" s="107">
        <f>SUM(AE40:AE41)</f>
        <v>490</v>
      </c>
    </row>
    <row r="43" spans="1:32" s="132" customFormat="1" ht="16.2" thickBot="1" x14ac:dyDescent="0.3">
      <c r="A43" s="121" t="s">
        <v>48</v>
      </c>
      <c r="B43" s="138">
        <f>B11+B25+B37+B42</f>
        <v>181907</v>
      </c>
      <c r="C43" s="134">
        <f>C11+C25+C37+C42</f>
        <v>113862</v>
      </c>
      <c r="D43" s="138">
        <f>D11+D25+D37+D42</f>
        <v>191724</v>
      </c>
      <c r="E43" s="134">
        <f>SUM(B43:D43)</f>
        <v>487493</v>
      </c>
      <c r="F43" s="134">
        <f t="shared" ref="F43:M43" si="23">F11+F25+F37+F42</f>
        <v>159846</v>
      </c>
      <c r="G43" s="122">
        <f t="shared" si="23"/>
        <v>847558</v>
      </c>
      <c r="H43" s="122">
        <f t="shared" si="23"/>
        <v>137</v>
      </c>
      <c r="I43" s="122">
        <f t="shared" si="23"/>
        <v>106</v>
      </c>
      <c r="J43" s="122">
        <f t="shared" si="23"/>
        <v>337</v>
      </c>
      <c r="K43" s="122">
        <f>K11+K25+K37+K42</f>
        <v>281</v>
      </c>
      <c r="L43" s="122">
        <f t="shared" si="23"/>
        <v>97</v>
      </c>
      <c r="M43" s="122">
        <f t="shared" si="23"/>
        <v>957</v>
      </c>
      <c r="N43" s="123">
        <f t="shared" si="3"/>
        <v>0.11291262662850211</v>
      </c>
      <c r="O43" s="122">
        <f t="shared" ref="O43:T43" si="24">O11+O25+O37+O42</f>
        <v>208</v>
      </c>
      <c r="P43" s="122">
        <f t="shared" si="24"/>
        <v>153</v>
      </c>
      <c r="Q43" s="122">
        <f t="shared" si="24"/>
        <v>447</v>
      </c>
      <c r="R43" s="122">
        <f>R11+R25+R37+R42</f>
        <v>310</v>
      </c>
      <c r="S43" s="122">
        <f t="shared" si="24"/>
        <v>112</v>
      </c>
      <c r="T43" s="122">
        <f t="shared" si="24"/>
        <v>1231</v>
      </c>
      <c r="U43" s="123">
        <f t="shared" si="0"/>
        <v>0.14524079767992279</v>
      </c>
      <c r="V43" s="122">
        <f t="shared" ref="V43:AA43" si="25">V11+V25+V37+V42</f>
        <v>43</v>
      </c>
      <c r="W43" s="122">
        <f t="shared" si="25"/>
        <v>43</v>
      </c>
      <c r="X43" s="122">
        <f t="shared" si="25"/>
        <v>218</v>
      </c>
      <c r="Y43" s="122">
        <f t="shared" si="25"/>
        <v>133</v>
      </c>
      <c r="Z43" s="122">
        <f t="shared" si="25"/>
        <v>77</v>
      </c>
      <c r="AA43" s="122">
        <f t="shared" si="25"/>
        <v>514</v>
      </c>
      <c r="AB43" s="123">
        <f t="shared" si="1"/>
        <v>6.0644817227847536E-2</v>
      </c>
      <c r="AC43" s="122">
        <f>AC11+AC25+AC37+AC42</f>
        <v>264</v>
      </c>
      <c r="AD43" s="122">
        <f>AD11+AD25+AD37+AD42</f>
        <v>87</v>
      </c>
      <c r="AE43" s="122">
        <f>AE11+AE25+AE37+AE42</f>
        <v>4192</v>
      </c>
    </row>
    <row r="44" spans="1:32" ht="13.8" x14ac:dyDescent="0.25">
      <c r="A44" s="16"/>
      <c r="B44" s="163"/>
      <c r="C44" s="163"/>
      <c r="D44" s="163"/>
      <c r="E44" s="163"/>
      <c r="F44" s="163"/>
      <c r="G44" s="163"/>
      <c r="H44" s="16"/>
      <c r="I44" s="16"/>
      <c r="J44" s="16"/>
      <c r="K44" s="16"/>
      <c r="L44" s="2"/>
      <c r="M44" s="2"/>
      <c r="N44" s="2"/>
    </row>
    <row r="45" spans="1:32" ht="13.2" customHeight="1" x14ac:dyDescent="0.25">
      <c r="B45" s="164"/>
      <c r="C45" s="164"/>
      <c r="D45" s="164"/>
      <c r="E45" s="164"/>
      <c r="F45" s="164"/>
      <c r="G45" s="164"/>
    </row>
    <row r="46" spans="1:32" ht="13.2" customHeight="1" x14ac:dyDescent="0.25">
      <c r="B46" s="164"/>
      <c r="C46" s="164"/>
      <c r="D46" s="164"/>
      <c r="E46" s="164"/>
      <c r="F46" s="164"/>
      <c r="G46" s="164"/>
    </row>
    <row r="47" spans="1:32" ht="13.2" customHeight="1" x14ac:dyDescent="0.25">
      <c r="B47" s="164"/>
      <c r="C47" s="164"/>
      <c r="D47" s="164"/>
      <c r="E47" s="164"/>
      <c r="F47" s="164"/>
      <c r="G47" s="164"/>
    </row>
    <row r="48" spans="1:32" ht="13.2" customHeight="1" x14ac:dyDescent="0.25">
      <c r="B48" s="164"/>
      <c r="C48" s="164"/>
      <c r="D48" s="164"/>
      <c r="E48" s="164"/>
      <c r="F48" s="164"/>
      <c r="G48" s="164"/>
    </row>
    <row r="49" spans="2:7" ht="13.2" customHeight="1" x14ac:dyDescent="0.25">
      <c r="B49" s="164"/>
      <c r="C49" s="164"/>
      <c r="D49" s="164"/>
      <c r="E49" s="164"/>
      <c r="F49" s="164"/>
      <c r="G49" s="164"/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AJ52"/>
  <sheetViews>
    <sheetView zoomScaleNormal="10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AB40" sqref="AB40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6" s="1" customFormat="1" ht="24.6" x14ac:dyDescent="0.4">
      <c r="A1" s="479" t="s">
        <v>95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6" s="1" customFormat="1" ht="18" customHeight="1" thickBot="1" x14ac:dyDescent="0.35"/>
    <row r="3" spans="1:36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44</v>
      </c>
      <c r="W3" s="492"/>
      <c r="X3" s="492"/>
      <c r="Y3" s="492"/>
      <c r="Z3" s="492"/>
      <c r="AA3" s="493"/>
      <c r="AB3" s="488" t="s">
        <v>42</v>
      </c>
      <c r="AC3" s="95" t="s">
        <v>120</v>
      </c>
      <c r="AD3" s="96" t="s">
        <v>46</v>
      </c>
      <c r="AE3" s="96" t="s">
        <v>47</v>
      </c>
      <c r="AF3" s="18"/>
      <c r="AG3" s="19"/>
      <c r="AH3" s="19"/>
      <c r="AI3" s="19"/>
      <c r="AJ3" s="19"/>
    </row>
    <row r="4" spans="1:36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6" ht="14.4" thickBot="1" x14ac:dyDescent="0.3">
      <c r="A6" s="89" t="s">
        <v>1</v>
      </c>
      <c r="B6" s="97">
        <v>115</v>
      </c>
      <c r="C6" s="97">
        <v>29</v>
      </c>
      <c r="D6" s="97">
        <v>123</v>
      </c>
      <c r="E6" s="137">
        <v>75</v>
      </c>
      <c r="F6" s="97">
        <v>38</v>
      </c>
      <c r="G6" s="98">
        <f>SUM(B6:F6)</f>
        <v>380</v>
      </c>
      <c r="H6" s="97">
        <v>0</v>
      </c>
      <c r="I6" s="97">
        <v>0</v>
      </c>
      <c r="J6" s="97">
        <f>Düsseldorf14!C6</f>
        <v>0</v>
      </c>
      <c r="K6" s="97">
        <f>Kölle14!C6</f>
        <v>0</v>
      </c>
      <c r="L6" s="97">
        <f>Münster14!C6</f>
        <v>0</v>
      </c>
      <c r="M6" s="101">
        <f>SUM(H6:L6)</f>
        <v>0</v>
      </c>
      <c r="N6" s="99">
        <f>M6*100/G6</f>
        <v>0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101">
        <f>SUM(O6:S6)</f>
        <v>0</v>
      </c>
      <c r="U6" s="99">
        <f>T6*100/G6</f>
        <v>0</v>
      </c>
      <c r="V6" s="97">
        <v>1</v>
      </c>
      <c r="W6" s="97">
        <f>Detmold14!E6</f>
        <v>0</v>
      </c>
      <c r="X6" s="97">
        <v>0</v>
      </c>
      <c r="Y6" s="97">
        <v>0</v>
      </c>
      <c r="Z6" s="97">
        <v>0</v>
      </c>
      <c r="AA6" s="97">
        <f>SUM(V6:Z6)</f>
        <v>1</v>
      </c>
      <c r="AB6" s="99">
        <f>AA6*100/G6</f>
        <v>0.26315789473684209</v>
      </c>
      <c r="AC6" s="101">
        <f>Arnsberg14!F6+Detmold14!F6+Düsseldorf14!F6+Kölle14!F6+Münster14!F6</f>
        <v>0</v>
      </c>
      <c r="AD6" s="101">
        <v>0</v>
      </c>
      <c r="AE6" s="101">
        <v>4</v>
      </c>
    </row>
    <row r="7" spans="1:36" ht="14.4" thickBot="1" x14ac:dyDescent="0.3">
      <c r="A7" s="90" t="s">
        <v>2</v>
      </c>
      <c r="B7" s="97">
        <v>905</v>
      </c>
      <c r="C7" s="97">
        <v>177</v>
      </c>
      <c r="D7" s="97">
        <v>772</v>
      </c>
      <c r="E7" s="137">
        <v>624</v>
      </c>
      <c r="F7" s="97">
        <v>323</v>
      </c>
      <c r="G7" s="98">
        <f>SUM(B7:F7)</f>
        <v>2801</v>
      </c>
      <c r="H7" s="97">
        <v>1</v>
      </c>
      <c r="I7" s="97">
        <v>1</v>
      </c>
      <c r="J7" s="97">
        <v>5</v>
      </c>
      <c r="K7" s="97">
        <v>1</v>
      </c>
      <c r="L7" s="97">
        <v>0</v>
      </c>
      <c r="M7" s="97">
        <f>SUM(H7:L7)</f>
        <v>8</v>
      </c>
      <c r="N7" s="99">
        <f>M7*100/G7</f>
        <v>0.28561228132809713</v>
      </c>
      <c r="O7" s="97">
        <v>4</v>
      </c>
      <c r="P7" s="97">
        <v>1</v>
      </c>
      <c r="Q7" s="97">
        <v>2</v>
      </c>
      <c r="R7" s="97">
        <v>5</v>
      </c>
      <c r="S7" s="97">
        <v>0</v>
      </c>
      <c r="T7" s="97">
        <f>SUM(O7:S7)</f>
        <v>12</v>
      </c>
      <c r="U7" s="99">
        <f>T7*100/G7</f>
        <v>0.42841842199214564</v>
      </c>
      <c r="V7" s="97">
        <v>1</v>
      </c>
      <c r="W7" s="97">
        <f>Detmold14!E7</f>
        <v>0</v>
      </c>
      <c r="X7" s="97">
        <v>2</v>
      </c>
      <c r="Y7" s="97">
        <v>1</v>
      </c>
      <c r="Z7" s="97">
        <v>1</v>
      </c>
      <c r="AA7" s="97">
        <f>SUM(V7:Z7)</f>
        <v>5</v>
      </c>
      <c r="AB7" s="99">
        <f>AA7*100/G7</f>
        <v>0.17850767583006069</v>
      </c>
      <c r="AC7" s="101">
        <v>3</v>
      </c>
      <c r="AD7" s="101">
        <v>3</v>
      </c>
      <c r="AE7" s="101">
        <v>72</v>
      </c>
    </row>
    <row r="8" spans="1:36" ht="14.4" thickBot="1" x14ac:dyDescent="0.3">
      <c r="A8" s="90" t="s">
        <v>14</v>
      </c>
      <c r="B8" s="97">
        <v>77</v>
      </c>
      <c r="C8" s="97">
        <v>41</v>
      </c>
      <c r="D8" s="97">
        <v>117</v>
      </c>
      <c r="E8" s="137">
        <v>104</v>
      </c>
      <c r="F8" s="97">
        <v>38</v>
      </c>
      <c r="G8" s="98">
        <f>SUM(B8:F8)</f>
        <v>377</v>
      </c>
      <c r="H8" s="97">
        <v>0</v>
      </c>
      <c r="I8" s="97">
        <v>0</v>
      </c>
      <c r="J8" s="97">
        <v>0</v>
      </c>
      <c r="K8" s="97">
        <f>Kölle14!C8</f>
        <v>0</v>
      </c>
      <c r="L8" s="97">
        <f>Münster14!C8</f>
        <v>0</v>
      </c>
      <c r="M8" s="101">
        <f>SUM(H8:L8)</f>
        <v>0</v>
      </c>
      <c r="N8" s="99">
        <f>M8*100/G8</f>
        <v>0</v>
      </c>
      <c r="O8" s="97">
        <v>0</v>
      </c>
      <c r="P8" s="97">
        <v>0</v>
      </c>
      <c r="Q8" s="97">
        <v>0</v>
      </c>
      <c r="R8" s="97">
        <v>0</v>
      </c>
      <c r="S8" s="97">
        <v>0</v>
      </c>
      <c r="T8" s="101">
        <f>SUM(O8:S8)</f>
        <v>0</v>
      </c>
      <c r="U8" s="99">
        <f t="shared" ref="U8:U43" si="0">T8*100/G8</f>
        <v>0</v>
      </c>
      <c r="V8" s="97">
        <v>0</v>
      </c>
      <c r="W8" s="97">
        <f>Detmold14!E8</f>
        <v>0</v>
      </c>
      <c r="X8" s="97">
        <v>0</v>
      </c>
      <c r="Y8" s="97">
        <v>0</v>
      </c>
      <c r="Z8" s="97">
        <v>0</v>
      </c>
      <c r="AA8" s="97">
        <f>SUM(V8:Z8)</f>
        <v>0</v>
      </c>
      <c r="AB8" s="99">
        <f t="shared" ref="AB8:AB43" si="1">AA8*100/G8</f>
        <v>0</v>
      </c>
      <c r="AC8" s="101">
        <f>Arnsberg14!F8+Detmold14!F8+Düsseldorf14!F8+Kölle14!F8+Münster14!F8</f>
        <v>0</v>
      </c>
      <c r="AD8" s="101">
        <v>0</v>
      </c>
      <c r="AE8" s="101">
        <v>3</v>
      </c>
    </row>
    <row r="9" spans="1:36" ht="14.4" thickBot="1" x14ac:dyDescent="0.3">
      <c r="A9" s="90" t="s">
        <v>3</v>
      </c>
      <c r="B9" s="97">
        <v>139</v>
      </c>
      <c r="C9" s="97">
        <v>64</v>
      </c>
      <c r="D9" s="97">
        <v>171</v>
      </c>
      <c r="E9" s="137">
        <v>135</v>
      </c>
      <c r="F9" s="97">
        <v>43</v>
      </c>
      <c r="G9" s="98">
        <f>SUM(B9:F9)</f>
        <v>552</v>
      </c>
      <c r="H9" s="97">
        <v>0</v>
      </c>
      <c r="I9" s="97">
        <v>0</v>
      </c>
      <c r="J9" s="97">
        <v>0</v>
      </c>
      <c r="K9" s="97">
        <f>Kölle14!C9</f>
        <v>0</v>
      </c>
      <c r="L9" s="97">
        <f>Münster14!C9</f>
        <v>0</v>
      </c>
      <c r="M9" s="97">
        <f>SUM(H9:L9)</f>
        <v>0</v>
      </c>
      <c r="N9" s="99">
        <f>M9*100/G9</f>
        <v>0</v>
      </c>
      <c r="O9" s="97">
        <v>0</v>
      </c>
      <c r="P9" s="97">
        <v>0</v>
      </c>
      <c r="Q9" s="97">
        <v>2</v>
      </c>
      <c r="R9" s="97">
        <v>1</v>
      </c>
      <c r="S9" s="97">
        <v>0</v>
      </c>
      <c r="T9" s="97">
        <f>SUM(O9:S9)</f>
        <v>3</v>
      </c>
      <c r="U9" s="99">
        <f t="shared" si="0"/>
        <v>0.54347826086956519</v>
      </c>
      <c r="V9" s="97">
        <v>0</v>
      </c>
      <c r="W9" s="97">
        <f>Detmold14!E9</f>
        <v>0</v>
      </c>
      <c r="X9" s="97">
        <v>0</v>
      </c>
      <c r="Y9" s="97">
        <v>0</v>
      </c>
      <c r="Z9" s="97">
        <v>1</v>
      </c>
      <c r="AA9" s="97">
        <f>SUM(V9:Z9)</f>
        <v>1</v>
      </c>
      <c r="AB9" s="99">
        <f t="shared" si="1"/>
        <v>0.18115942028985507</v>
      </c>
      <c r="AC9" s="101">
        <f>Arnsberg14!F9+Detmold14!F9+Düsseldorf14!F9+Kölle14!F9+Münster14!F9</f>
        <v>0</v>
      </c>
      <c r="AD9" s="101">
        <v>0</v>
      </c>
      <c r="AE9" s="101">
        <v>12</v>
      </c>
    </row>
    <row r="10" spans="1:36" ht="23.4" thickBot="1" x14ac:dyDescent="0.3">
      <c r="A10" s="139" t="s">
        <v>23</v>
      </c>
      <c r="B10" s="97">
        <v>1010</v>
      </c>
      <c r="C10" s="97">
        <v>174</v>
      </c>
      <c r="D10" s="97">
        <v>924</v>
      </c>
      <c r="E10" s="137">
        <v>810</v>
      </c>
      <c r="F10" s="97">
        <v>349</v>
      </c>
      <c r="G10" s="98">
        <f>SUM(B10:F10)</f>
        <v>3267</v>
      </c>
      <c r="H10" s="97">
        <v>2</v>
      </c>
      <c r="I10" s="97">
        <v>1</v>
      </c>
      <c r="J10" s="97">
        <v>1</v>
      </c>
      <c r="K10" s="97">
        <v>2</v>
      </c>
      <c r="L10" s="97">
        <v>1</v>
      </c>
      <c r="M10" s="97">
        <f>SUM(H10:L10)</f>
        <v>7</v>
      </c>
      <c r="N10" s="99">
        <f>M10*100/G10</f>
        <v>0.21426385062748698</v>
      </c>
      <c r="O10" s="97">
        <v>1</v>
      </c>
      <c r="P10" s="97">
        <v>0</v>
      </c>
      <c r="Q10" s="97">
        <v>3</v>
      </c>
      <c r="R10" s="97">
        <v>5</v>
      </c>
      <c r="S10" s="97">
        <v>5</v>
      </c>
      <c r="T10" s="100">
        <f>SUM(O10:S10)</f>
        <v>14</v>
      </c>
      <c r="U10" s="99">
        <f t="shared" si="0"/>
        <v>0.42852770125497397</v>
      </c>
      <c r="V10" s="97">
        <v>0</v>
      </c>
      <c r="W10" s="97">
        <f>Detmold14!E10</f>
        <v>0</v>
      </c>
      <c r="X10" s="97">
        <v>1</v>
      </c>
      <c r="Y10" s="97">
        <v>0</v>
      </c>
      <c r="Z10" s="97">
        <v>0</v>
      </c>
      <c r="AA10" s="97">
        <f>SUM(V10:Z10)</f>
        <v>1</v>
      </c>
      <c r="AB10" s="99">
        <f t="shared" si="1"/>
        <v>3.0609121518212427E-2</v>
      </c>
      <c r="AC10" s="101">
        <v>6</v>
      </c>
      <c r="AD10" s="101">
        <v>1</v>
      </c>
      <c r="AE10" s="101">
        <v>51</v>
      </c>
    </row>
    <row r="11" spans="1:36" s="132" customFormat="1" ht="14.4" thickBot="1" x14ac:dyDescent="0.3">
      <c r="A11" s="124" t="s">
        <v>21</v>
      </c>
      <c r="B11" s="105">
        <f>SUM(B6:B10)</f>
        <v>2246</v>
      </c>
      <c r="C11" s="105">
        <f>SUM(C6:C10)</f>
        <v>485</v>
      </c>
      <c r="D11" s="105">
        <f>SUM(D6:D10)</f>
        <v>2107</v>
      </c>
      <c r="E11" s="105">
        <f>SUM(E6:E10)</f>
        <v>1748</v>
      </c>
      <c r="F11" s="105">
        <f>SUM(F6:F10)</f>
        <v>791</v>
      </c>
      <c r="G11" s="102">
        <f t="shared" ref="G11:M11" si="2">SUM(G6:G10)</f>
        <v>7377</v>
      </c>
      <c r="H11" s="111">
        <f>SUM(H6:H10)</f>
        <v>3</v>
      </c>
      <c r="I11" s="111">
        <f>SUM(I6:I10)</f>
        <v>2</v>
      </c>
      <c r="J11" s="111">
        <f t="shared" si="2"/>
        <v>6</v>
      </c>
      <c r="K11" s="111">
        <f t="shared" si="2"/>
        <v>3</v>
      </c>
      <c r="L11" s="111">
        <f t="shared" si="2"/>
        <v>1</v>
      </c>
      <c r="M11" s="103">
        <f t="shared" si="2"/>
        <v>15</v>
      </c>
      <c r="N11" s="104">
        <f t="shared" ref="N11:N43" si="3">M11*100/G11</f>
        <v>0.203334688897926</v>
      </c>
      <c r="O11" s="105">
        <f t="shared" ref="O11:T11" si="4">SUM(O6:O10)</f>
        <v>5</v>
      </c>
      <c r="P11" s="105">
        <f t="shared" si="4"/>
        <v>1</v>
      </c>
      <c r="Q11" s="105">
        <f t="shared" si="4"/>
        <v>7</v>
      </c>
      <c r="R11" s="105">
        <f>SUM(R6:R10)</f>
        <v>11</v>
      </c>
      <c r="S11" s="105">
        <f t="shared" si="4"/>
        <v>5</v>
      </c>
      <c r="T11" s="103">
        <f t="shared" si="4"/>
        <v>29</v>
      </c>
      <c r="U11" s="104">
        <f t="shared" si="0"/>
        <v>0.39311373186932358</v>
      </c>
      <c r="V11" s="105">
        <f t="shared" ref="V11:AA11" si="5">SUM(V6:V10)</f>
        <v>2</v>
      </c>
      <c r="W11" s="105">
        <f t="shared" si="5"/>
        <v>0</v>
      </c>
      <c r="X11" s="105">
        <f t="shared" si="5"/>
        <v>3</v>
      </c>
      <c r="Y11" s="105">
        <f>SUM(Y6:Y10)</f>
        <v>1</v>
      </c>
      <c r="Z11" s="105">
        <f t="shared" si="5"/>
        <v>2</v>
      </c>
      <c r="AA11" s="106">
        <f t="shared" si="5"/>
        <v>8</v>
      </c>
      <c r="AB11" s="104">
        <f t="shared" si="1"/>
        <v>0.10844516741222719</v>
      </c>
      <c r="AC11" s="107">
        <f>SUM(AC6:AC10)</f>
        <v>9</v>
      </c>
      <c r="AD11" s="107">
        <f>SUM(AD6:AD10)</f>
        <v>4</v>
      </c>
      <c r="AE11" s="107">
        <f>SUM(AE6:AE10)</f>
        <v>142</v>
      </c>
    </row>
    <row r="12" spans="1:3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6" ht="14.4" thickBot="1" x14ac:dyDescent="0.3">
      <c r="A14" s="89" t="s">
        <v>4</v>
      </c>
      <c r="B14" s="97">
        <v>20</v>
      </c>
      <c r="C14" s="97">
        <v>4</v>
      </c>
      <c r="D14" s="97">
        <v>28</v>
      </c>
      <c r="E14" s="97">
        <v>39</v>
      </c>
      <c r="F14" s="97">
        <v>10</v>
      </c>
      <c r="G14" s="98">
        <f>SUM(B14:F14)</f>
        <v>101</v>
      </c>
      <c r="H14" s="97">
        <v>0</v>
      </c>
      <c r="I14" s="97">
        <f>Detmold14!C14</f>
        <v>0</v>
      </c>
      <c r="J14" s="97">
        <f>Düsseldorf14!C14</f>
        <v>0</v>
      </c>
      <c r="K14" s="97">
        <f>Kölle14!C14</f>
        <v>0</v>
      </c>
      <c r="L14" s="97">
        <f>Münster14!C14</f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f>Detmold14!D14</f>
        <v>0</v>
      </c>
      <c r="Q14" s="97">
        <v>0</v>
      </c>
      <c r="R14" s="97">
        <v>0</v>
      </c>
      <c r="S14" s="97">
        <v>1</v>
      </c>
      <c r="T14" s="97">
        <f>SUM(O14:S14)</f>
        <v>1</v>
      </c>
      <c r="U14" s="99">
        <f t="shared" si="0"/>
        <v>0.99009900990099009</v>
      </c>
      <c r="V14" s="97">
        <f>Arnsberg14!E14</f>
        <v>0</v>
      </c>
      <c r="W14" s="97">
        <f>Detmold14!E14</f>
        <v>0</v>
      </c>
      <c r="X14" s="97">
        <f>Düsseldorf14!E14</f>
        <v>0</v>
      </c>
      <c r="Y14" s="97">
        <f>Kölle14!E14</f>
        <v>0</v>
      </c>
      <c r="Z14" s="97">
        <f>Münster14!E14</f>
        <v>0</v>
      </c>
      <c r="AA14" s="101">
        <f>SUM(V14:Z14)</f>
        <v>0</v>
      </c>
      <c r="AB14" s="99">
        <f t="shared" si="1"/>
        <v>0</v>
      </c>
      <c r="AC14" s="101">
        <f>Arnsberg14!F14+Detmold14!F14+Düsseldorf14!F14+Kölle14!F14+Münster14!F14</f>
        <v>0</v>
      </c>
      <c r="AD14" s="101">
        <f>Arnsberg14!G14+Detmold14!G14+Düsseldorf14!G14+Kölle14!G14+Münster14!G14</f>
        <v>0</v>
      </c>
      <c r="AE14" s="101">
        <v>2</v>
      </c>
    </row>
    <row r="15" spans="1:36" ht="14.4" thickBot="1" x14ac:dyDescent="0.3">
      <c r="A15" s="89" t="s">
        <v>5</v>
      </c>
      <c r="B15" s="97">
        <v>204</v>
      </c>
      <c r="C15" s="97">
        <v>40</v>
      </c>
      <c r="D15" s="97">
        <v>242</v>
      </c>
      <c r="E15" s="97">
        <v>306</v>
      </c>
      <c r="F15" s="97">
        <v>90</v>
      </c>
      <c r="G15" s="98">
        <f t="shared" ref="G15:G24" si="6">SUM(B15:F15)</f>
        <v>882</v>
      </c>
      <c r="H15" s="97">
        <v>2</v>
      </c>
      <c r="I15" s="97">
        <f>Detmold14!C15</f>
        <v>0</v>
      </c>
      <c r="J15" s="97">
        <v>0</v>
      </c>
      <c r="K15" s="97">
        <v>2</v>
      </c>
      <c r="L15" s="97">
        <v>0</v>
      </c>
      <c r="M15" s="97">
        <v>2</v>
      </c>
      <c r="N15" s="99">
        <f t="shared" si="3"/>
        <v>0.22675736961451248</v>
      </c>
      <c r="O15" s="97">
        <v>1</v>
      </c>
      <c r="P15" s="97">
        <v>0</v>
      </c>
      <c r="Q15" s="97">
        <v>0</v>
      </c>
      <c r="R15" s="97">
        <v>4</v>
      </c>
      <c r="S15" s="97">
        <v>1</v>
      </c>
      <c r="T15" s="97">
        <f t="shared" ref="T15:T24" si="7">SUM(O15:S15)</f>
        <v>6</v>
      </c>
      <c r="U15" s="99">
        <f t="shared" si="0"/>
        <v>0.68027210884353739</v>
      </c>
      <c r="V15" s="97">
        <f>Arnsberg14!E15</f>
        <v>0</v>
      </c>
      <c r="W15" s="97">
        <f>Detmold14!E15</f>
        <v>0</v>
      </c>
      <c r="X15" s="97">
        <v>1</v>
      </c>
      <c r="Y15" s="97">
        <v>0</v>
      </c>
      <c r="Z15" s="97">
        <f>Münster14!E15</f>
        <v>0</v>
      </c>
      <c r="AA15" s="97">
        <f t="shared" ref="AA15:AA24" si="8">SUM(V15:Z15)</f>
        <v>1</v>
      </c>
      <c r="AB15" s="99">
        <f t="shared" si="1"/>
        <v>0.11337868480725624</v>
      </c>
      <c r="AC15" s="101">
        <v>0</v>
      </c>
      <c r="AD15" s="101">
        <v>2</v>
      </c>
      <c r="AE15" s="101">
        <v>24</v>
      </c>
    </row>
    <row r="16" spans="1:36" ht="14.4" thickBot="1" x14ac:dyDescent="0.3">
      <c r="A16" s="89" t="s">
        <v>6</v>
      </c>
      <c r="B16" s="109">
        <v>59</v>
      </c>
      <c r="C16" s="97">
        <v>27</v>
      </c>
      <c r="D16" s="97">
        <v>62</v>
      </c>
      <c r="E16" s="97">
        <v>51</v>
      </c>
      <c r="F16" s="97">
        <v>36</v>
      </c>
      <c r="G16" s="98">
        <f t="shared" si="6"/>
        <v>235</v>
      </c>
      <c r="H16" s="97">
        <v>0</v>
      </c>
      <c r="I16" s="97">
        <f>Detmold14!C16</f>
        <v>0</v>
      </c>
      <c r="J16" s="97">
        <f>Düsseldorf14!C16</f>
        <v>0</v>
      </c>
      <c r="K16" s="97">
        <f>Kölle14!C16</f>
        <v>0</v>
      </c>
      <c r="L16" s="97">
        <f>Münster14!C16</f>
        <v>0</v>
      </c>
      <c r="M16" s="101">
        <f t="shared" ref="M16:M24" si="9">SUM(H16:L16)</f>
        <v>0</v>
      </c>
      <c r="N16" s="99">
        <f t="shared" si="3"/>
        <v>0</v>
      </c>
      <c r="O16" s="97">
        <v>0</v>
      </c>
      <c r="P16" s="97">
        <f>Detmold14!D16</f>
        <v>0</v>
      </c>
      <c r="Q16" s="97">
        <v>0</v>
      </c>
      <c r="R16" s="97">
        <v>1</v>
      </c>
      <c r="S16" s="97">
        <f>Münster14!D16</f>
        <v>0</v>
      </c>
      <c r="T16" s="97">
        <f t="shared" si="7"/>
        <v>1</v>
      </c>
      <c r="U16" s="99">
        <f t="shared" si="0"/>
        <v>0.42553191489361702</v>
      </c>
      <c r="V16" s="97">
        <f>Arnsberg14!E16</f>
        <v>0</v>
      </c>
      <c r="W16" s="97">
        <f>Detmold14!E16</f>
        <v>0</v>
      </c>
      <c r="X16" s="97">
        <v>0</v>
      </c>
      <c r="Y16" s="97">
        <v>1</v>
      </c>
      <c r="Z16" s="97">
        <f>Münster14!E16</f>
        <v>0</v>
      </c>
      <c r="AA16" s="97">
        <f t="shared" si="8"/>
        <v>1</v>
      </c>
      <c r="AB16" s="99">
        <f t="shared" si="1"/>
        <v>0.42553191489361702</v>
      </c>
      <c r="AC16" s="101">
        <f>Arnsberg14!F16+Detmold14!F16+Düsseldorf14!F16+Kölle14!F16+Münster14!F16</f>
        <v>0</v>
      </c>
      <c r="AD16" s="101">
        <f>Arnsberg14!G16+Detmold14!G16+Düsseldorf14!G16+Kölle14!G16+Münster14!G16</f>
        <v>0</v>
      </c>
      <c r="AE16" s="101">
        <v>2</v>
      </c>
    </row>
    <row r="17" spans="1:34" ht="14.4" thickBot="1" x14ac:dyDescent="0.3">
      <c r="A17" s="89" t="s">
        <v>7</v>
      </c>
      <c r="B17" s="97">
        <v>28</v>
      </c>
      <c r="C17" s="97">
        <v>11</v>
      </c>
      <c r="D17" s="97">
        <v>46</v>
      </c>
      <c r="E17" s="97">
        <v>32</v>
      </c>
      <c r="F17" s="97">
        <v>21</v>
      </c>
      <c r="G17" s="98">
        <f t="shared" si="6"/>
        <v>138</v>
      </c>
      <c r="H17" s="97">
        <v>0</v>
      </c>
      <c r="I17" s="97">
        <f>Detmold14!C17</f>
        <v>0</v>
      </c>
      <c r="J17" s="97">
        <v>1</v>
      </c>
      <c r="K17" s="97">
        <v>0</v>
      </c>
      <c r="L17" s="97">
        <f>Münster14!C17</f>
        <v>0</v>
      </c>
      <c r="M17" s="97">
        <f t="shared" si="9"/>
        <v>1</v>
      </c>
      <c r="N17" s="99">
        <f t="shared" si="3"/>
        <v>0.72463768115942029</v>
      </c>
      <c r="O17" s="97">
        <v>0</v>
      </c>
      <c r="P17" s="97">
        <f>Detmold14!D17</f>
        <v>0</v>
      </c>
      <c r="Q17" s="97">
        <v>2</v>
      </c>
      <c r="R17" s="97">
        <v>0</v>
      </c>
      <c r="S17" s="97">
        <f>Münster14!D17</f>
        <v>0</v>
      </c>
      <c r="T17" s="97">
        <f t="shared" si="7"/>
        <v>2</v>
      </c>
      <c r="U17" s="99">
        <f t="shared" si="0"/>
        <v>1.4492753623188406</v>
      </c>
      <c r="V17" s="97">
        <f>Arnsberg14!E17</f>
        <v>0</v>
      </c>
      <c r="W17" s="97">
        <f>Detmold14!E17</f>
        <v>0</v>
      </c>
      <c r="X17" s="97">
        <f>Düsseldorf14!E17</f>
        <v>0</v>
      </c>
      <c r="Y17" s="97">
        <f>Kölle14!E17</f>
        <v>0</v>
      </c>
      <c r="Z17" s="97">
        <f>Münster14!E17</f>
        <v>0</v>
      </c>
      <c r="AA17" s="101">
        <f t="shared" si="8"/>
        <v>0</v>
      </c>
      <c r="AB17" s="99">
        <f t="shared" si="1"/>
        <v>0</v>
      </c>
      <c r="AC17" s="101">
        <f>Arnsberg14!F17+Detmold14!F17+Düsseldorf14!F17+Kölle14!F17+Münster14!F17</f>
        <v>0</v>
      </c>
      <c r="AD17" s="101">
        <f>Arnsberg14!G17+Detmold14!G17+Düsseldorf14!G17+Kölle14!G17+Münster14!G17</f>
        <v>0</v>
      </c>
      <c r="AE17" s="101">
        <v>3</v>
      </c>
    </row>
    <row r="18" spans="1:34" ht="14.4" thickBot="1" x14ac:dyDescent="0.3">
      <c r="A18" s="89" t="s">
        <v>8</v>
      </c>
      <c r="B18" s="97">
        <v>9</v>
      </c>
      <c r="C18" s="97">
        <v>2</v>
      </c>
      <c r="D18" s="97">
        <v>9</v>
      </c>
      <c r="E18" s="97">
        <v>7</v>
      </c>
      <c r="F18" s="97">
        <v>3</v>
      </c>
      <c r="G18" s="98">
        <f t="shared" si="6"/>
        <v>30</v>
      </c>
      <c r="H18" s="97">
        <v>1</v>
      </c>
      <c r="I18" s="97">
        <f>Detmold14!C18</f>
        <v>0</v>
      </c>
      <c r="J18" s="97">
        <f>Düsseldorf14!C18</f>
        <v>0</v>
      </c>
      <c r="K18" s="97">
        <f>Kölle14!C18</f>
        <v>0</v>
      </c>
      <c r="L18" s="97">
        <f>Münster14!C18</f>
        <v>0</v>
      </c>
      <c r="M18" s="97">
        <f t="shared" si="9"/>
        <v>1</v>
      </c>
      <c r="N18" s="99">
        <f t="shared" si="3"/>
        <v>3.3333333333333335</v>
      </c>
      <c r="O18" s="97">
        <v>0</v>
      </c>
      <c r="P18" s="97">
        <f>Detmold14!D18</f>
        <v>0</v>
      </c>
      <c r="Q18" s="97">
        <v>0</v>
      </c>
      <c r="R18" s="97">
        <v>0</v>
      </c>
      <c r="S18" s="97">
        <f>Münster14!D18</f>
        <v>0</v>
      </c>
      <c r="T18" s="101">
        <f t="shared" si="7"/>
        <v>0</v>
      </c>
      <c r="U18" s="99">
        <f t="shared" si="0"/>
        <v>0</v>
      </c>
      <c r="V18" s="97">
        <v>1</v>
      </c>
      <c r="W18" s="97">
        <f>Detmold14!E18</f>
        <v>0</v>
      </c>
      <c r="X18" s="97">
        <f>Düsseldorf14!E18</f>
        <v>0</v>
      </c>
      <c r="Y18" s="97">
        <f>Kölle14!E18</f>
        <v>0</v>
      </c>
      <c r="Z18" s="97">
        <f>Münster14!E18</f>
        <v>0</v>
      </c>
      <c r="AA18" s="97">
        <f t="shared" si="8"/>
        <v>1</v>
      </c>
      <c r="AB18" s="99">
        <f t="shared" si="1"/>
        <v>3.3333333333333335</v>
      </c>
      <c r="AC18" s="101">
        <f>Arnsberg14!F18+Detmold14!F18+Düsseldorf14!F18+Kölle14!F18+Münster14!F18</f>
        <v>0</v>
      </c>
      <c r="AD18" s="101">
        <f>Arnsberg14!G18+Detmold14!G18+Düsseldorf14!G18+Kölle14!G18+Münster14!G18</f>
        <v>0</v>
      </c>
      <c r="AE18" s="101">
        <v>0</v>
      </c>
    </row>
    <row r="19" spans="1:34" ht="14.4" thickBot="1" x14ac:dyDescent="0.3">
      <c r="A19" s="89" t="s">
        <v>9</v>
      </c>
      <c r="B19" s="97">
        <v>19</v>
      </c>
      <c r="C19" s="97">
        <v>5</v>
      </c>
      <c r="D19" s="97">
        <v>24</v>
      </c>
      <c r="E19" s="97">
        <v>18</v>
      </c>
      <c r="F19" s="97">
        <v>8</v>
      </c>
      <c r="G19" s="98">
        <f t="shared" si="6"/>
        <v>74</v>
      </c>
      <c r="H19" s="97">
        <v>0</v>
      </c>
      <c r="I19" s="97">
        <f>Detmold14!C19</f>
        <v>0</v>
      </c>
      <c r="J19" s="97">
        <v>0</v>
      </c>
      <c r="K19" s="97">
        <v>0</v>
      </c>
      <c r="L19" s="97">
        <f>Münster14!C19</f>
        <v>0</v>
      </c>
      <c r="M19" s="101">
        <f t="shared" si="9"/>
        <v>0</v>
      </c>
      <c r="N19" s="99">
        <f t="shared" si="3"/>
        <v>0</v>
      </c>
      <c r="O19" s="97">
        <v>0</v>
      </c>
      <c r="P19" s="97">
        <f>Detmold14!D19</f>
        <v>0</v>
      </c>
      <c r="Q19" s="97">
        <v>0</v>
      </c>
      <c r="R19" s="97">
        <v>0</v>
      </c>
      <c r="S19" s="97">
        <f>Münster14!D19</f>
        <v>0</v>
      </c>
      <c r="T19" s="101">
        <f t="shared" si="7"/>
        <v>0</v>
      </c>
      <c r="U19" s="99">
        <f t="shared" si="0"/>
        <v>0</v>
      </c>
      <c r="V19" s="97">
        <f>Arnsberg14!E19</f>
        <v>0</v>
      </c>
      <c r="W19" s="97">
        <f>Detmold14!E19</f>
        <v>0</v>
      </c>
      <c r="X19" s="97">
        <f>Düsseldorf14!E19</f>
        <v>0</v>
      </c>
      <c r="Y19" s="97">
        <f>Kölle14!E19</f>
        <v>0</v>
      </c>
      <c r="Z19" s="97">
        <f>Münster14!E19</f>
        <v>0</v>
      </c>
      <c r="AA19" s="101">
        <f t="shared" si="8"/>
        <v>0</v>
      </c>
      <c r="AB19" s="99">
        <f t="shared" si="1"/>
        <v>0</v>
      </c>
      <c r="AC19" s="101">
        <f>Arnsberg14!F19+Detmold14!F19+Düsseldorf14!F19+Kölle14!F19+Münster14!F19</f>
        <v>0</v>
      </c>
      <c r="AD19" s="101">
        <f>Arnsberg14!G19+Detmold14!G19+Düsseldorf14!G19+Kölle14!G19+Münster14!G19</f>
        <v>0</v>
      </c>
      <c r="AE19" s="101">
        <v>0</v>
      </c>
    </row>
    <row r="20" spans="1:34" ht="14.4" thickBot="1" x14ac:dyDescent="0.3">
      <c r="A20" s="89" t="s">
        <v>10</v>
      </c>
      <c r="B20" s="97">
        <v>13</v>
      </c>
      <c r="C20" s="97">
        <v>5</v>
      </c>
      <c r="D20" s="97">
        <v>15</v>
      </c>
      <c r="E20" s="97">
        <v>21</v>
      </c>
      <c r="F20" s="97">
        <v>3</v>
      </c>
      <c r="G20" s="98">
        <f t="shared" si="6"/>
        <v>57</v>
      </c>
      <c r="H20" s="97">
        <v>0</v>
      </c>
      <c r="I20" s="97">
        <f>Detmold14!C20</f>
        <v>0</v>
      </c>
      <c r="J20" s="97">
        <f>Düsseldorf14!C20</f>
        <v>0</v>
      </c>
      <c r="K20" s="97">
        <v>0</v>
      </c>
      <c r="L20" s="97">
        <f>Münster14!C20</f>
        <v>0</v>
      </c>
      <c r="M20" s="101">
        <f t="shared" si="9"/>
        <v>0</v>
      </c>
      <c r="N20" s="99">
        <f t="shared" si="3"/>
        <v>0</v>
      </c>
      <c r="O20" s="97">
        <v>0</v>
      </c>
      <c r="P20" s="97">
        <f>Detmold14!D20</f>
        <v>0</v>
      </c>
      <c r="Q20" s="97">
        <v>0</v>
      </c>
      <c r="R20" s="97">
        <v>0</v>
      </c>
      <c r="S20" s="97">
        <f>Münster14!D20</f>
        <v>0</v>
      </c>
      <c r="T20" s="101">
        <f t="shared" si="7"/>
        <v>0</v>
      </c>
      <c r="U20" s="99">
        <f t="shared" si="0"/>
        <v>0</v>
      </c>
      <c r="V20" s="97">
        <f>Arnsberg14!E20</f>
        <v>0</v>
      </c>
      <c r="W20" s="97">
        <f>Detmold14!E20</f>
        <v>0</v>
      </c>
      <c r="X20" s="97">
        <f>Düsseldorf14!E20</f>
        <v>0</v>
      </c>
      <c r="Y20" s="97">
        <f>Kölle14!E20</f>
        <v>0</v>
      </c>
      <c r="Z20" s="97">
        <f>Münster14!E20</f>
        <v>0</v>
      </c>
      <c r="AA20" s="101">
        <f t="shared" si="8"/>
        <v>0</v>
      </c>
      <c r="AB20" s="99">
        <f t="shared" si="1"/>
        <v>0</v>
      </c>
      <c r="AC20" s="101">
        <f>Arnsberg14!F20+Detmold14!F20+Düsseldorf14!F20+Kölle14!F20+Münster14!F20</f>
        <v>0</v>
      </c>
      <c r="AD20" s="101">
        <f>Arnsberg14!G20+Detmold14!G20+Düsseldorf14!G20+Kölle14!G20+Münster14!G20</f>
        <v>0</v>
      </c>
      <c r="AE20" s="101">
        <v>0</v>
      </c>
    </row>
    <row r="21" spans="1:34" ht="14.4" thickBot="1" x14ac:dyDescent="0.3">
      <c r="A21" s="89" t="s">
        <v>11</v>
      </c>
      <c r="B21" s="97">
        <v>88</v>
      </c>
      <c r="C21" s="97">
        <v>8</v>
      </c>
      <c r="D21" s="97">
        <v>90</v>
      </c>
      <c r="E21" s="97">
        <v>139</v>
      </c>
      <c r="F21" s="97">
        <v>42</v>
      </c>
      <c r="G21" s="98">
        <f t="shared" si="6"/>
        <v>367</v>
      </c>
      <c r="H21" s="97">
        <v>0</v>
      </c>
      <c r="I21" s="97">
        <f>Detmold14!C21</f>
        <v>0</v>
      </c>
      <c r="J21" s="97">
        <v>0</v>
      </c>
      <c r="K21" s="97">
        <v>0</v>
      </c>
      <c r="L21" s="97">
        <f>Münster14!C21</f>
        <v>0</v>
      </c>
      <c r="M21" s="97">
        <f t="shared" si="9"/>
        <v>0</v>
      </c>
      <c r="N21" s="99">
        <f t="shared" si="3"/>
        <v>0</v>
      </c>
      <c r="O21" s="97">
        <v>0</v>
      </c>
      <c r="P21" s="97">
        <v>0</v>
      </c>
      <c r="Q21" s="97">
        <v>0</v>
      </c>
      <c r="R21" s="97">
        <v>0</v>
      </c>
      <c r="S21" s="97">
        <f>Münster14!D21</f>
        <v>0</v>
      </c>
      <c r="T21" s="97">
        <f t="shared" si="7"/>
        <v>0</v>
      </c>
      <c r="U21" s="99">
        <f t="shared" si="0"/>
        <v>0</v>
      </c>
      <c r="V21" s="97">
        <f>Arnsberg14!E21</f>
        <v>0</v>
      </c>
      <c r="W21" s="97">
        <f>Detmold14!E21</f>
        <v>0</v>
      </c>
      <c r="X21" s="97">
        <v>2</v>
      </c>
      <c r="Y21" s="97">
        <f>Kölle14!E21</f>
        <v>0</v>
      </c>
      <c r="Z21" s="97">
        <v>0</v>
      </c>
      <c r="AA21" s="97">
        <f t="shared" si="8"/>
        <v>2</v>
      </c>
      <c r="AB21" s="99">
        <f t="shared" si="1"/>
        <v>0.54495912806539515</v>
      </c>
      <c r="AC21" s="101">
        <f>Arnsberg14!F21+Detmold14!F21+Düsseldorf14!F21+Kölle14!F21+Münster14!F21</f>
        <v>0</v>
      </c>
      <c r="AD21" s="101">
        <v>2</v>
      </c>
      <c r="AE21" s="101">
        <v>12</v>
      </c>
    </row>
    <row r="22" spans="1:34" ht="14.4" thickBot="1" x14ac:dyDescent="0.3">
      <c r="A22" s="89" t="s">
        <v>12</v>
      </c>
      <c r="B22" s="97">
        <v>1309</v>
      </c>
      <c r="C22" s="97">
        <v>478</v>
      </c>
      <c r="D22" s="97">
        <v>1725</v>
      </c>
      <c r="E22" s="97">
        <v>1512</v>
      </c>
      <c r="F22" s="97">
        <v>770</v>
      </c>
      <c r="G22" s="98">
        <f t="shared" si="6"/>
        <v>5794</v>
      </c>
      <c r="H22" s="97">
        <v>14</v>
      </c>
      <c r="I22" s="97">
        <v>2</v>
      </c>
      <c r="J22" s="97">
        <v>8</v>
      </c>
      <c r="K22" s="97">
        <v>3</v>
      </c>
      <c r="L22" s="97">
        <v>0</v>
      </c>
      <c r="M22" s="97">
        <f t="shared" si="9"/>
        <v>27</v>
      </c>
      <c r="N22" s="99">
        <f t="shared" si="3"/>
        <v>0.46599930963065239</v>
      </c>
      <c r="O22" s="97">
        <v>12</v>
      </c>
      <c r="P22" s="97">
        <v>3</v>
      </c>
      <c r="Q22" s="97">
        <v>12</v>
      </c>
      <c r="R22" s="97">
        <v>8</v>
      </c>
      <c r="S22" s="97">
        <v>5</v>
      </c>
      <c r="T22" s="97">
        <f t="shared" si="7"/>
        <v>40</v>
      </c>
      <c r="U22" s="99">
        <f t="shared" si="0"/>
        <v>0.69036934760096647</v>
      </c>
      <c r="V22" s="97">
        <v>1</v>
      </c>
      <c r="W22" s="97">
        <v>0</v>
      </c>
      <c r="X22" s="97">
        <v>4</v>
      </c>
      <c r="Y22" s="97">
        <v>4</v>
      </c>
      <c r="Z22" s="97">
        <v>2</v>
      </c>
      <c r="AA22" s="97">
        <f t="shared" si="8"/>
        <v>11</v>
      </c>
      <c r="AB22" s="99">
        <f t="shared" si="1"/>
        <v>0.18985157059026581</v>
      </c>
      <c r="AC22" s="101">
        <v>5</v>
      </c>
      <c r="AD22" s="101">
        <v>4</v>
      </c>
      <c r="AE22" s="101">
        <v>118</v>
      </c>
    </row>
    <row r="23" spans="1:34" ht="14.4" thickBot="1" x14ac:dyDescent="0.3">
      <c r="A23" s="89" t="s">
        <v>13</v>
      </c>
      <c r="B23" s="97">
        <v>11</v>
      </c>
      <c r="C23" s="97">
        <v>3</v>
      </c>
      <c r="D23" s="97">
        <v>6</v>
      </c>
      <c r="E23" s="97">
        <v>1</v>
      </c>
      <c r="F23" s="97">
        <v>4</v>
      </c>
      <c r="G23" s="98">
        <f t="shared" si="6"/>
        <v>25</v>
      </c>
      <c r="H23" s="97">
        <v>0</v>
      </c>
      <c r="I23" s="97">
        <f>Detmold14!C23</f>
        <v>0</v>
      </c>
      <c r="J23" s="97">
        <f>Düsseldorf14!C23</f>
        <v>0</v>
      </c>
      <c r="K23" s="97">
        <f>Kölle14!C23</f>
        <v>0</v>
      </c>
      <c r="L23" s="97">
        <f>Münster14!C23</f>
        <v>0</v>
      </c>
      <c r="M23" s="97">
        <f t="shared" si="9"/>
        <v>0</v>
      </c>
      <c r="N23" s="99">
        <f t="shared" si="3"/>
        <v>0</v>
      </c>
      <c r="O23" s="97">
        <v>0</v>
      </c>
      <c r="P23" s="97">
        <f>Detmold14!D23</f>
        <v>0</v>
      </c>
      <c r="Q23" s="97">
        <v>0</v>
      </c>
      <c r="R23" s="97">
        <v>0</v>
      </c>
      <c r="S23" s="97">
        <f>Münster14!D23</f>
        <v>0</v>
      </c>
      <c r="T23" s="97">
        <f t="shared" si="7"/>
        <v>0</v>
      </c>
      <c r="U23" s="99">
        <f t="shared" si="0"/>
        <v>0</v>
      </c>
      <c r="V23" s="97">
        <f>Arnsberg14!E23</f>
        <v>0</v>
      </c>
      <c r="W23" s="97">
        <f>Detmold14!E23</f>
        <v>0</v>
      </c>
      <c r="X23" s="97">
        <v>2</v>
      </c>
      <c r="Y23" s="97">
        <f>Kölle14!E23</f>
        <v>0</v>
      </c>
      <c r="Z23" s="97">
        <f>Münster14!E23</f>
        <v>0</v>
      </c>
      <c r="AA23" s="97">
        <f t="shared" si="8"/>
        <v>2</v>
      </c>
      <c r="AB23" s="99">
        <f t="shared" si="1"/>
        <v>8</v>
      </c>
      <c r="AC23" s="101">
        <v>0</v>
      </c>
      <c r="AD23" s="101">
        <f>Arnsberg14!G23+Detmold14!G23+Düsseldorf14!G23+Kölle14!G23+Münster14!G23</f>
        <v>0</v>
      </c>
      <c r="AE23" s="101">
        <v>6</v>
      </c>
    </row>
    <row r="24" spans="1:34" ht="23.4" thickBot="1" x14ac:dyDescent="0.3">
      <c r="A24" s="139" t="s">
        <v>23</v>
      </c>
      <c r="B24" s="110">
        <v>536</v>
      </c>
      <c r="C24" s="110">
        <v>139</v>
      </c>
      <c r="D24" s="97">
        <v>516</v>
      </c>
      <c r="E24" s="110">
        <v>519</v>
      </c>
      <c r="F24" s="97">
        <v>214</v>
      </c>
      <c r="G24" s="98">
        <f t="shared" si="6"/>
        <v>1924</v>
      </c>
      <c r="H24" s="110">
        <v>3</v>
      </c>
      <c r="I24" s="97">
        <f>Detmold14!C24</f>
        <v>0</v>
      </c>
      <c r="J24" s="97">
        <v>2</v>
      </c>
      <c r="K24" s="97">
        <v>1</v>
      </c>
      <c r="L24" s="97">
        <f>Münster14!C24</f>
        <v>1</v>
      </c>
      <c r="M24" s="97">
        <f t="shared" si="9"/>
        <v>7</v>
      </c>
      <c r="N24" s="99">
        <f t="shared" si="3"/>
        <v>0.36382536382536385</v>
      </c>
      <c r="O24" s="110">
        <v>5</v>
      </c>
      <c r="P24" s="97">
        <v>0</v>
      </c>
      <c r="Q24" s="110">
        <v>4</v>
      </c>
      <c r="R24" s="110">
        <v>4</v>
      </c>
      <c r="S24" s="97">
        <v>4</v>
      </c>
      <c r="T24" s="97">
        <f t="shared" si="7"/>
        <v>17</v>
      </c>
      <c r="U24" s="99">
        <f t="shared" si="0"/>
        <v>0.88357588357588357</v>
      </c>
      <c r="V24" s="110">
        <f>Arnsberg14!E24</f>
        <v>0</v>
      </c>
      <c r="W24" s="110">
        <v>2</v>
      </c>
      <c r="X24" s="110">
        <v>0</v>
      </c>
      <c r="Y24" s="110">
        <f>Kölle14!E24</f>
        <v>0</v>
      </c>
      <c r="Z24" s="110">
        <f>Münster14!E24</f>
        <v>0</v>
      </c>
      <c r="AA24" s="97">
        <f t="shared" si="8"/>
        <v>2</v>
      </c>
      <c r="AB24" s="99">
        <f t="shared" si="1"/>
        <v>0.10395010395010396</v>
      </c>
      <c r="AC24" s="101">
        <f>Arnsberg14!F24+Detmold14!F24+Düsseldorf14!F24+Kölle14!F24+Münster14!F24</f>
        <v>0</v>
      </c>
      <c r="AD24" s="101">
        <f>Arnsberg14!G24+Detmold14!G24+Düsseldorf14!G24+Kölle14!G24+Münster14!G24</f>
        <v>0</v>
      </c>
      <c r="AE24" s="101">
        <v>53</v>
      </c>
    </row>
    <row r="25" spans="1:34" s="132" customFormat="1" ht="14.4" thickBot="1" x14ac:dyDescent="0.3">
      <c r="A25" s="128" t="s">
        <v>22</v>
      </c>
      <c r="B25" s="111">
        <f t="shared" ref="B25:I25" si="10">SUM(B14:B24)</f>
        <v>2296</v>
      </c>
      <c r="C25" s="111">
        <f t="shared" si="10"/>
        <v>722</v>
      </c>
      <c r="D25" s="111">
        <f t="shared" si="10"/>
        <v>2763</v>
      </c>
      <c r="E25" s="111">
        <f t="shared" si="10"/>
        <v>2645</v>
      </c>
      <c r="F25" s="111">
        <f t="shared" si="10"/>
        <v>1201</v>
      </c>
      <c r="G25" s="102">
        <f t="shared" si="10"/>
        <v>9627</v>
      </c>
      <c r="H25" s="111">
        <f t="shared" si="10"/>
        <v>20</v>
      </c>
      <c r="I25" s="111">
        <f t="shared" si="10"/>
        <v>2</v>
      </c>
      <c r="J25" s="111">
        <f>SUM(J14:J24)</f>
        <v>11</v>
      </c>
      <c r="K25" s="111">
        <f t="shared" ref="K25:L25" si="11">SUM(K14:K24)</f>
        <v>6</v>
      </c>
      <c r="L25" s="111">
        <f t="shared" si="11"/>
        <v>1</v>
      </c>
      <c r="M25" s="103">
        <f>SUM(M14:M24)</f>
        <v>38</v>
      </c>
      <c r="N25" s="104">
        <f t="shared" si="3"/>
        <v>0.3947231744053184</v>
      </c>
      <c r="O25" s="111">
        <f t="shared" ref="O25:T25" si="12">SUM(O14:O24)</f>
        <v>18</v>
      </c>
      <c r="P25" s="111">
        <f t="shared" si="12"/>
        <v>3</v>
      </c>
      <c r="Q25" s="111">
        <f t="shared" si="12"/>
        <v>18</v>
      </c>
      <c r="R25" s="111">
        <f>SUM(R14:R24)</f>
        <v>17</v>
      </c>
      <c r="S25" s="111">
        <f t="shared" si="12"/>
        <v>11</v>
      </c>
      <c r="T25" s="103">
        <f t="shared" si="12"/>
        <v>67</v>
      </c>
      <c r="U25" s="104">
        <f t="shared" si="0"/>
        <v>0.69595928118832451</v>
      </c>
      <c r="V25" s="111">
        <f t="shared" ref="V25:AA25" si="13">SUM(V14:V24)</f>
        <v>2</v>
      </c>
      <c r="W25" s="111">
        <f t="shared" si="13"/>
        <v>2</v>
      </c>
      <c r="X25" s="111">
        <f t="shared" si="13"/>
        <v>9</v>
      </c>
      <c r="Y25" s="111">
        <f t="shared" si="13"/>
        <v>5</v>
      </c>
      <c r="Z25" s="111">
        <f t="shared" si="13"/>
        <v>2</v>
      </c>
      <c r="AA25" s="103">
        <f t="shared" si="13"/>
        <v>20</v>
      </c>
      <c r="AB25" s="104">
        <f t="shared" si="1"/>
        <v>0.20774903916069387</v>
      </c>
      <c r="AC25" s="107">
        <f>SUM(AC14:AC24)</f>
        <v>5</v>
      </c>
      <c r="AD25" s="107">
        <f>SUM(AD14:AD24)</f>
        <v>8</v>
      </c>
      <c r="AE25" s="107">
        <f>SUM(AE14:AE24)</f>
        <v>220</v>
      </c>
    </row>
    <row r="26" spans="1:34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4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4" ht="14.4" thickBot="1" x14ac:dyDescent="0.3">
      <c r="A28" s="89" t="s">
        <v>15</v>
      </c>
      <c r="B28" s="97">
        <v>3317</v>
      </c>
      <c r="C28" s="97">
        <v>1913</v>
      </c>
      <c r="D28" s="97">
        <v>3538</v>
      </c>
      <c r="E28" s="97">
        <v>3343</v>
      </c>
      <c r="F28" s="97">
        <v>3129</v>
      </c>
      <c r="G28" s="98">
        <f>SUM(B28:F28)</f>
        <v>15240</v>
      </c>
      <c r="H28" s="97">
        <v>1</v>
      </c>
      <c r="I28" s="97">
        <v>3</v>
      </c>
      <c r="J28" s="97">
        <v>2</v>
      </c>
      <c r="K28" s="97">
        <v>0</v>
      </c>
      <c r="L28" s="97">
        <v>3</v>
      </c>
      <c r="M28" s="97">
        <f>SUM(H28:L28)</f>
        <v>9</v>
      </c>
      <c r="N28" s="99">
        <f t="shared" si="3"/>
        <v>5.905511811023622E-2</v>
      </c>
      <c r="O28" s="97">
        <v>6</v>
      </c>
      <c r="P28" s="97">
        <v>3</v>
      </c>
      <c r="Q28" s="97">
        <v>4</v>
      </c>
      <c r="R28" s="97">
        <v>2</v>
      </c>
      <c r="S28" s="97">
        <v>3</v>
      </c>
      <c r="T28" s="97">
        <f>SUM(O28:S28)</f>
        <v>18</v>
      </c>
      <c r="U28" s="99">
        <f t="shared" si="0"/>
        <v>0.11811023622047244</v>
      </c>
      <c r="V28" s="97">
        <v>0</v>
      </c>
      <c r="W28" s="97">
        <v>1</v>
      </c>
      <c r="X28" s="97">
        <v>2</v>
      </c>
      <c r="Y28" s="97">
        <v>0</v>
      </c>
      <c r="Z28" s="97">
        <v>1</v>
      </c>
      <c r="AA28" s="97">
        <f>SUM(V28:Z28)</f>
        <v>4</v>
      </c>
      <c r="AB28" s="99">
        <f t="shared" si="1"/>
        <v>2.6246719160104987E-2</v>
      </c>
      <c r="AC28" s="101">
        <v>4</v>
      </c>
      <c r="AD28" s="101">
        <v>1</v>
      </c>
      <c r="AE28" s="101">
        <v>62</v>
      </c>
    </row>
    <row r="29" spans="1:34" ht="14.4" thickBot="1" x14ac:dyDescent="0.3">
      <c r="A29" s="89" t="s">
        <v>16</v>
      </c>
      <c r="B29" s="97">
        <v>1364</v>
      </c>
      <c r="C29" s="97">
        <v>793</v>
      </c>
      <c r="D29" s="97">
        <v>1811</v>
      </c>
      <c r="E29" s="97">
        <v>1498</v>
      </c>
      <c r="F29" s="97">
        <v>1009</v>
      </c>
      <c r="G29" s="98">
        <f t="shared" ref="G29:G36" si="14">SUM(B29:F29)</f>
        <v>6475</v>
      </c>
      <c r="H29" s="97">
        <v>2</v>
      </c>
      <c r="I29" s="97">
        <v>2</v>
      </c>
      <c r="J29" s="97">
        <v>8</v>
      </c>
      <c r="K29" s="97">
        <v>1</v>
      </c>
      <c r="L29" s="97">
        <v>2</v>
      </c>
      <c r="M29" s="97">
        <f t="shared" ref="M29:M36" si="15">SUM(H29:L29)</f>
        <v>15</v>
      </c>
      <c r="N29" s="99">
        <f t="shared" si="3"/>
        <v>0.23166023166023167</v>
      </c>
      <c r="O29" s="97">
        <v>4</v>
      </c>
      <c r="P29" s="97">
        <v>3</v>
      </c>
      <c r="Q29" s="97">
        <v>6</v>
      </c>
      <c r="R29" s="97">
        <v>3</v>
      </c>
      <c r="S29" s="97">
        <v>1</v>
      </c>
      <c r="T29" s="97">
        <f t="shared" ref="T29:T36" si="16">SUM(O29:S29)</f>
        <v>17</v>
      </c>
      <c r="U29" s="99">
        <f t="shared" si="0"/>
        <v>0.26254826254826252</v>
      </c>
      <c r="V29" s="97">
        <v>2</v>
      </c>
      <c r="W29" s="97">
        <v>0</v>
      </c>
      <c r="X29" s="97">
        <v>2</v>
      </c>
      <c r="Y29" s="97">
        <v>0</v>
      </c>
      <c r="Z29" s="97">
        <v>0</v>
      </c>
      <c r="AA29" s="97">
        <f t="shared" ref="AA29:AA36" si="17">SUM(V29:Z29)</f>
        <v>4</v>
      </c>
      <c r="AB29" s="99">
        <f t="shared" si="1"/>
        <v>6.1776061776061778E-2</v>
      </c>
      <c r="AC29" s="101">
        <v>7</v>
      </c>
      <c r="AD29" s="101">
        <v>1</v>
      </c>
      <c r="AE29" s="101">
        <v>53</v>
      </c>
    </row>
    <row r="30" spans="1:34" ht="14.4" thickBot="1" x14ac:dyDescent="0.3">
      <c r="A30" s="89" t="s">
        <v>34</v>
      </c>
      <c r="B30" s="97">
        <v>1083</v>
      </c>
      <c r="C30" s="97">
        <v>663</v>
      </c>
      <c r="D30" s="97">
        <v>907</v>
      </c>
      <c r="E30" s="97">
        <v>904</v>
      </c>
      <c r="F30" s="97">
        <v>1384</v>
      </c>
      <c r="G30" s="98">
        <f t="shared" si="14"/>
        <v>4941</v>
      </c>
      <c r="H30" s="97">
        <v>0</v>
      </c>
      <c r="I30" s="97">
        <v>2</v>
      </c>
      <c r="J30" s="97">
        <v>0</v>
      </c>
      <c r="K30" s="97">
        <v>0</v>
      </c>
      <c r="L30" s="97">
        <v>0</v>
      </c>
      <c r="M30" s="97">
        <f t="shared" si="15"/>
        <v>2</v>
      </c>
      <c r="N30" s="99">
        <f t="shared" si="3"/>
        <v>4.0477636106051408E-2</v>
      </c>
      <c r="O30" s="97">
        <v>2</v>
      </c>
      <c r="P30" s="97">
        <v>1</v>
      </c>
      <c r="Q30" s="97">
        <v>7</v>
      </c>
      <c r="R30" s="97">
        <v>4</v>
      </c>
      <c r="S30" s="97">
        <v>1</v>
      </c>
      <c r="T30" s="97">
        <f t="shared" si="16"/>
        <v>15</v>
      </c>
      <c r="U30" s="99">
        <f t="shared" si="0"/>
        <v>0.30358227079538552</v>
      </c>
      <c r="V30" s="97">
        <v>2</v>
      </c>
      <c r="W30" s="97">
        <v>0</v>
      </c>
      <c r="X30" s="97">
        <v>0</v>
      </c>
      <c r="Y30" s="97">
        <v>1</v>
      </c>
      <c r="Z30" s="97">
        <v>0</v>
      </c>
      <c r="AA30" s="97">
        <f t="shared" si="17"/>
        <v>3</v>
      </c>
      <c r="AB30" s="99">
        <f t="shared" si="1"/>
        <v>6.0716454159077109E-2</v>
      </c>
      <c r="AC30" s="101">
        <v>2</v>
      </c>
      <c r="AD30" s="101">
        <v>1</v>
      </c>
      <c r="AE30" s="101">
        <v>35</v>
      </c>
    </row>
    <row r="31" spans="1:34" ht="14.4" thickBot="1" x14ac:dyDescent="0.3">
      <c r="A31" s="89" t="s">
        <v>17</v>
      </c>
      <c r="B31" s="97">
        <v>7345</v>
      </c>
      <c r="C31" s="97">
        <v>4141</v>
      </c>
      <c r="D31" s="97">
        <v>8625</v>
      </c>
      <c r="E31" s="97">
        <v>7353</v>
      </c>
      <c r="F31" s="97">
        <v>6539</v>
      </c>
      <c r="G31" s="98">
        <f t="shared" si="14"/>
        <v>34003</v>
      </c>
      <c r="H31" s="97">
        <v>4</v>
      </c>
      <c r="I31" s="97">
        <v>1</v>
      </c>
      <c r="J31" s="97">
        <v>7</v>
      </c>
      <c r="K31" s="97">
        <v>3</v>
      </c>
      <c r="L31" s="97">
        <v>2</v>
      </c>
      <c r="M31" s="97">
        <f t="shared" si="15"/>
        <v>17</v>
      </c>
      <c r="N31" s="99">
        <f t="shared" si="3"/>
        <v>4.9995588624533127E-2</v>
      </c>
      <c r="O31" s="97">
        <v>5</v>
      </c>
      <c r="P31" s="97">
        <v>2</v>
      </c>
      <c r="Q31" s="97">
        <v>4</v>
      </c>
      <c r="R31" s="97">
        <v>12</v>
      </c>
      <c r="S31" s="97">
        <v>2</v>
      </c>
      <c r="T31" s="97">
        <f t="shared" si="16"/>
        <v>25</v>
      </c>
      <c r="U31" s="99">
        <f t="shared" si="0"/>
        <v>7.3522924447842836E-2</v>
      </c>
      <c r="V31" s="97">
        <v>3</v>
      </c>
      <c r="W31" s="97">
        <v>1</v>
      </c>
      <c r="X31" s="97">
        <v>1</v>
      </c>
      <c r="Y31" s="97">
        <v>4</v>
      </c>
      <c r="Z31" s="97">
        <v>2</v>
      </c>
      <c r="AA31" s="97">
        <f t="shared" si="17"/>
        <v>11</v>
      </c>
      <c r="AB31" s="99">
        <f t="shared" si="1"/>
        <v>3.2350086757050846E-2</v>
      </c>
      <c r="AC31" s="101">
        <v>2</v>
      </c>
      <c r="AD31" s="101">
        <v>4</v>
      </c>
      <c r="AE31" s="101">
        <v>174</v>
      </c>
      <c r="AH31" t="s">
        <v>52</v>
      </c>
    </row>
    <row r="32" spans="1:34" ht="14.4" thickBot="1" x14ac:dyDescent="0.3">
      <c r="A32" s="89" t="s">
        <v>18</v>
      </c>
      <c r="B32" s="97">
        <v>1805</v>
      </c>
      <c r="C32" s="97">
        <v>1401</v>
      </c>
      <c r="D32" s="97">
        <v>1644</v>
      </c>
      <c r="E32" s="97">
        <v>1423</v>
      </c>
      <c r="F32" s="97">
        <v>3050</v>
      </c>
      <c r="G32" s="98">
        <f t="shared" si="14"/>
        <v>9323</v>
      </c>
      <c r="H32" s="97">
        <v>4</v>
      </c>
      <c r="I32" s="97">
        <v>3</v>
      </c>
      <c r="J32" s="97">
        <v>1</v>
      </c>
      <c r="K32" s="97">
        <v>2</v>
      </c>
      <c r="L32" s="97">
        <v>2</v>
      </c>
      <c r="M32" s="97">
        <f t="shared" si="15"/>
        <v>12</v>
      </c>
      <c r="N32" s="99">
        <f t="shared" si="3"/>
        <v>0.1287139332832779</v>
      </c>
      <c r="O32" s="97">
        <v>4</v>
      </c>
      <c r="P32" s="97">
        <v>1</v>
      </c>
      <c r="Q32" s="97">
        <v>3</v>
      </c>
      <c r="R32" s="97">
        <v>6</v>
      </c>
      <c r="S32" s="97">
        <v>3</v>
      </c>
      <c r="T32" s="97">
        <f t="shared" si="16"/>
        <v>17</v>
      </c>
      <c r="U32" s="99">
        <f t="shared" si="0"/>
        <v>0.18234473881797705</v>
      </c>
      <c r="V32" s="97">
        <v>0</v>
      </c>
      <c r="W32" s="97">
        <v>2</v>
      </c>
      <c r="X32" s="97">
        <v>1</v>
      </c>
      <c r="Y32" s="97">
        <v>0</v>
      </c>
      <c r="Z32" s="97">
        <v>3</v>
      </c>
      <c r="AA32" s="97">
        <f t="shared" si="17"/>
        <v>6</v>
      </c>
      <c r="AB32" s="99">
        <f t="shared" si="1"/>
        <v>6.4356966641638952E-2</v>
      </c>
      <c r="AC32" s="101">
        <v>8</v>
      </c>
      <c r="AD32" s="101">
        <v>3</v>
      </c>
      <c r="AE32" s="101">
        <v>32</v>
      </c>
    </row>
    <row r="33" spans="1:32" ht="14.4" thickBot="1" x14ac:dyDescent="0.3">
      <c r="A33" s="89" t="s">
        <v>19</v>
      </c>
      <c r="B33" s="97">
        <v>10213</v>
      </c>
      <c r="C33" s="97">
        <v>5584</v>
      </c>
      <c r="D33" s="97">
        <v>11583</v>
      </c>
      <c r="E33" s="97">
        <v>9249</v>
      </c>
      <c r="F33" s="97">
        <v>7284</v>
      </c>
      <c r="G33" s="98">
        <f t="shared" si="14"/>
        <v>43913</v>
      </c>
      <c r="H33" s="97">
        <v>17</v>
      </c>
      <c r="I33" s="97">
        <v>9</v>
      </c>
      <c r="J33" s="97">
        <v>34</v>
      </c>
      <c r="K33" s="97">
        <v>27</v>
      </c>
      <c r="L33" s="97">
        <v>5</v>
      </c>
      <c r="M33" s="97">
        <f t="shared" si="15"/>
        <v>92</v>
      </c>
      <c r="N33" s="99">
        <f t="shared" si="3"/>
        <v>0.20950515792589894</v>
      </c>
      <c r="O33" s="97">
        <v>33</v>
      </c>
      <c r="P33" s="97">
        <v>23</v>
      </c>
      <c r="Q33" s="97">
        <v>35</v>
      </c>
      <c r="R33" s="97">
        <v>27</v>
      </c>
      <c r="S33" s="97">
        <v>22</v>
      </c>
      <c r="T33" s="97">
        <f t="shared" si="16"/>
        <v>140</v>
      </c>
      <c r="U33" s="99">
        <f t="shared" si="0"/>
        <v>0.31881219684375928</v>
      </c>
      <c r="V33" s="97">
        <v>4</v>
      </c>
      <c r="W33" s="97">
        <v>2</v>
      </c>
      <c r="X33" s="97">
        <v>32</v>
      </c>
      <c r="Y33" s="97">
        <v>2</v>
      </c>
      <c r="Z33" s="97">
        <v>7</v>
      </c>
      <c r="AA33" s="97">
        <f t="shared" si="17"/>
        <v>47</v>
      </c>
      <c r="AB33" s="99">
        <f t="shared" si="1"/>
        <v>0.1070298089404049</v>
      </c>
      <c r="AC33" s="101">
        <v>36</v>
      </c>
      <c r="AD33" s="101">
        <v>11</v>
      </c>
      <c r="AE33" s="101">
        <v>336</v>
      </c>
    </row>
    <row r="34" spans="1:32" ht="14.4" thickBot="1" x14ac:dyDescent="0.3">
      <c r="A34" s="89" t="s">
        <v>20</v>
      </c>
      <c r="B34" s="97">
        <v>7714</v>
      </c>
      <c r="C34" s="97">
        <v>4238</v>
      </c>
      <c r="D34" s="97">
        <v>8755</v>
      </c>
      <c r="E34" s="97">
        <v>8285</v>
      </c>
      <c r="F34" s="97">
        <v>4989</v>
      </c>
      <c r="G34" s="98">
        <f t="shared" si="14"/>
        <v>33981</v>
      </c>
      <c r="H34" s="97">
        <v>16</v>
      </c>
      <c r="I34" s="97">
        <v>4</v>
      </c>
      <c r="J34" s="97">
        <v>17</v>
      </c>
      <c r="K34" s="97">
        <v>19</v>
      </c>
      <c r="L34" s="97">
        <v>9</v>
      </c>
      <c r="M34" s="97">
        <f t="shared" si="15"/>
        <v>65</v>
      </c>
      <c r="N34" s="99">
        <f t="shared" si="3"/>
        <v>0.19128336423295372</v>
      </c>
      <c r="O34" s="97">
        <v>10</v>
      </c>
      <c r="P34" s="97">
        <v>7</v>
      </c>
      <c r="Q34" s="97">
        <v>17</v>
      </c>
      <c r="R34" s="97">
        <v>11</v>
      </c>
      <c r="S34" s="97">
        <v>10</v>
      </c>
      <c r="T34" s="97">
        <f t="shared" si="16"/>
        <v>55</v>
      </c>
      <c r="U34" s="99">
        <f t="shared" si="0"/>
        <v>0.16185515435096084</v>
      </c>
      <c r="V34" s="97">
        <v>3</v>
      </c>
      <c r="W34" s="97">
        <v>1</v>
      </c>
      <c r="X34" s="97">
        <v>9</v>
      </c>
      <c r="Y34" s="97">
        <v>2</v>
      </c>
      <c r="Z34" s="97">
        <v>5</v>
      </c>
      <c r="AA34" s="97">
        <f t="shared" si="17"/>
        <v>20</v>
      </c>
      <c r="AB34" s="99">
        <f t="shared" si="1"/>
        <v>5.8856419763985757E-2</v>
      </c>
      <c r="AC34" s="101">
        <v>19</v>
      </c>
      <c r="AD34" s="101">
        <v>9</v>
      </c>
      <c r="AE34" s="101">
        <v>283</v>
      </c>
    </row>
    <row r="35" spans="1:32" ht="14.4" thickBot="1" x14ac:dyDescent="0.3">
      <c r="A35" s="89" t="s">
        <v>25</v>
      </c>
      <c r="B35" s="97">
        <v>158</v>
      </c>
      <c r="C35" s="97">
        <v>103</v>
      </c>
      <c r="D35" s="97">
        <v>90</v>
      </c>
      <c r="E35" s="97">
        <v>68</v>
      </c>
      <c r="F35" s="97">
        <v>54</v>
      </c>
      <c r="G35" s="98">
        <f t="shared" si="14"/>
        <v>473</v>
      </c>
      <c r="H35" s="97">
        <v>0</v>
      </c>
      <c r="I35" s="97">
        <v>1</v>
      </c>
      <c r="J35" s="97">
        <v>0</v>
      </c>
      <c r="K35" s="97">
        <v>2</v>
      </c>
      <c r="L35" s="97">
        <v>0</v>
      </c>
      <c r="M35" s="97">
        <f t="shared" si="15"/>
        <v>3</v>
      </c>
      <c r="N35" s="99">
        <f t="shared" si="3"/>
        <v>0.63424947145877375</v>
      </c>
      <c r="O35" s="97">
        <v>1</v>
      </c>
      <c r="P35" s="97">
        <v>7</v>
      </c>
      <c r="Q35" s="97">
        <v>1</v>
      </c>
      <c r="R35" s="97">
        <v>2</v>
      </c>
      <c r="S35" s="97">
        <v>0</v>
      </c>
      <c r="T35" s="97">
        <f t="shared" si="16"/>
        <v>11</v>
      </c>
      <c r="U35" s="99">
        <f t="shared" si="0"/>
        <v>2.3255813953488373</v>
      </c>
      <c r="V35" s="97">
        <v>0</v>
      </c>
      <c r="W35" s="97">
        <v>0</v>
      </c>
      <c r="X35" s="97">
        <v>0</v>
      </c>
      <c r="Y35" s="97">
        <v>1</v>
      </c>
      <c r="Z35" s="97">
        <v>0</v>
      </c>
      <c r="AA35" s="97">
        <f t="shared" si="17"/>
        <v>1</v>
      </c>
      <c r="AB35" s="99">
        <f t="shared" si="1"/>
        <v>0.21141649048625794</v>
      </c>
      <c r="AC35" s="101">
        <v>2</v>
      </c>
      <c r="AD35" s="101">
        <v>0</v>
      </c>
      <c r="AE35" s="101">
        <v>12</v>
      </c>
    </row>
    <row r="36" spans="1:32" ht="14.4" thickBot="1" x14ac:dyDescent="0.3">
      <c r="A36" s="89" t="s">
        <v>26</v>
      </c>
      <c r="B36" s="97">
        <v>75924</v>
      </c>
      <c r="C36" s="97">
        <v>49048</v>
      </c>
      <c r="D36" s="97">
        <v>107874</v>
      </c>
      <c r="E36" s="97">
        <v>92403</v>
      </c>
      <c r="F36" s="97">
        <v>64902</v>
      </c>
      <c r="G36" s="98">
        <f t="shared" si="14"/>
        <v>390151</v>
      </c>
      <c r="H36" s="97">
        <v>96</v>
      </c>
      <c r="I36" s="97">
        <v>56</v>
      </c>
      <c r="J36" s="97">
        <v>170</v>
      </c>
      <c r="K36" s="97">
        <v>147</v>
      </c>
      <c r="L36" s="97">
        <v>41</v>
      </c>
      <c r="M36" s="97">
        <f t="shared" si="15"/>
        <v>510</v>
      </c>
      <c r="N36" s="99">
        <f t="shared" si="3"/>
        <v>0.13071861920128361</v>
      </c>
      <c r="O36" s="97">
        <v>113</v>
      </c>
      <c r="P36" s="97">
        <v>104</v>
      </c>
      <c r="Q36" s="97">
        <v>237</v>
      </c>
      <c r="R36" s="97">
        <v>188</v>
      </c>
      <c r="S36" s="97">
        <v>92</v>
      </c>
      <c r="T36" s="97">
        <f t="shared" si="16"/>
        <v>734</v>
      </c>
      <c r="U36" s="99">
        <f t="shared" si="0"/>
        <v>0.1881322872426317</v>
      </c>
      <c r="V36" s="97">
        <v>53</v>
      </c>
      <c r="W36" s="97">
        <v>24</v>
      </c>
      <c r="X36" s="97">
        <v>149</v>
      </c>
      <c r="Y36" s="97">
        <v>37</v>
      </c>
      <c r="Z36" s="97">
        <v>43</v>
      </c>
      <c r="AA36" s="97">
        <f t="shared" si="17"/>
        <v>306</v>
      </c>
      <c r="AB36" s="99">
        <f t="shared" si="1"/>
        <v>7.8431171520770157E-2</v>
      </c>
      <c r="AC36" s="101">
        <v>123</v>
      </c>
      <c r="AD36" s="101">
        <v>68</v>
      </c>
      <c r="AE36" s="97">
        <v>3197</v>
      </c>
    </row>
    <row r="37" spans="1:32" s="132" customFormat="1" ht="14.4" thickBot="1" x14ac:dyDescent="0.3">
      <c r="A37" s="128" t="s">
        <v>21</v>
      </c>
      <c r="B37" s="111">
        <f t="shared" ref="B37:M37" si="18">SUM(B28:B36)</f>
        <v>108923</v>
      </c>
      <c r="C37" s="111">
        <f t="shared" si="18"/>
        <v>67884</v>
      </c>
      <c r="D37" s="111">
        <f t="shared" si="18"/>
        <v>144827</v>
      </c>
      <c r="E37" s="111">
        <f>SUM(E28:E36)</f>
        <v>124526</v>
      </c>
      <c r="F37" s="111">
        <f t="shared" si="18"/>
        <v>92340</v>
      </c>
      <c r="G37" s="102">
        <f t="shared" si="18"/>
        <v>538500</v>
      </c>
      <c r="H37" s="111">
        <f t="shared" si="18"/>
        <v>140</v>
      </c>
      <c r="I37" s="111">
        <f t="shared" si="18"/>
        <v>81</v>
      </c>
      <c r="J37" s="111">
        <f t="shared" si="18"/>
        <v>239</v>
      </c>
      <c r="K37" s="111">
        <f>SUM(K28:K36)</f>
        <v>201</v>
      </c>
      <c r="L37" s="111">
        <f t="shared" si="18"/>
        <v>64</v>
      </c>
      <c r="M37" s="103">
        <f t="shared" si="18"/>
        <v>725</v>
      </c>
      <c r="N37" s="104">
        <f t="shared" si="3"/>
        <v>0.13463324048282266</v>
      </c>
      <c r="O37" s="111">
        <f t="shared" ref="O37:T37" si="19">SUM(O28:O36)</f>
        <v>178</v>
      </c>
      <c r="P37" s="111">
        <f t="shared" si="19"/>
        <v>151</v>
      </c>
      <c r="Q37" s="111">
        <f t="shared" si="19"/>
        <v>314</v>
      </c>
      <c r="R37" s="111">
        <f>SUM(R28:R36)</f>
        <v>255</v>
      </c>
      <c r="S37" s="111">
        <f t="shared" si="19"/>
        <v>134</v>
      </c>
      <c r="T37" s="103">
        <f t="shared" si="19"/>
        <v>1032</v>
      </c>
      <c r="U37" s="104">
        <f t="shared" si="0"/>
        <v>0.19164345403899721</v>
      </c>
      <c r="V37" s="111">
        <f t="shared" ref="V37:AA37" si="20">SUM(V28:V36)</f>
        <v>67</v>
      </c>
      <c r="W37" s="111">
        <f t="shared" si="20"/>
        <v>31</v>
      </c>
      <c r="X37" s="111">
        <f t="shared" si="20"/>
        <v>196</v>
      </c>
      <c r="Y37" s="111">
        <f>SUM(Y28:Y36)</f>
        <v>47</v>
      </c>
      <c r="Z37" s="111">
        <f t="shared" si="20"/>
        <v>61</v>
      </c>
      <c r="AA37" s="103">
        <f t="shared" si="20"/>
        <v>402</v>
      </c>
      <c r="AB37" s="104">
        <f t="shared" si="1"/>
        <v>7.465181058495822E-2</v>
      </c>
      <c r="AC37" s="107">
        <f>SUM(AC28:AC36)</f>
        <v>203</v>
      </c>
      <c r="AD37" s="107">
        <f>SUM(AD28:AD36)</f>
        <v>98</v>
      </c>
      <c r="AE37" s="114">
        <f>SUM(AE28:AE36)</f>
        <v>4184</v>
      </c>
      <c r="AF37" s="143"/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164</v>
      </c>
      <c r="C40" s="97">
        <v>99</v>
      </c>
      <c r="D40" s="97">
        <v>188</v>
      </c>
      <c r="E40" s="97">
        <v>187</v>
      </c>
      <c r="F40" s="97">
        <v>87</v>
      </c>
      <c r="G40" s="98">
        <f>SUM(B40:F40)</f>
        <v>725</v>
      </c>
      <c r="H40" s="97">
        <v>0</v>
      </c>
      <c r="I40" s="97">
        <v>0</v>
      </c>
      <c r="J40" s="97">
        <v>2</v>
      </c>
      <c r="K40" s="97">
        <v>3</v>
      </c>
      <c r="L40" s="120">
        <v>0</v>
      </c>
      <c r="M40" s="97">
        <v>4</v>
      </c>
      <c r="N40" s="99">
        <f t="shared" si="3"/>
        <v>0.55172413793103448</v>
      </c>
      <c r="O40" s="97">
        <v>0</v>
      </c>
      <c r="P40" s="97">
        <v>1</v>
      </c>
      <c r="Q40" s="97">
        <v>2</v>
      </c>
      <c r="R40" s="97">
        <v>1</v>
      </c>
      <c r="S40" s="97">
        <v>0</v>
      </c>
      <c r="T40" s="97">
        <f>SUM(O40:S40)</f>
        <v>4</v>
      </c>
      <c r="U40" s="99">
        <f t="shared" si="0"/>
        <v>0.55172413793103448</v>
      </c>
      <c r="V40" s="133">
        <v>0</v>
      </c>
      <c r="W40" s="133">
        <v>1</v>
      </c>
      <c r="X40" s="133">
        <v>0</v>
      </c>
      <c r="Y40" s="133">
        <f>Kölle14!E40</f>
        <v>0</v>
      </c>
      <c r="Z40" s="133">
        <f>Münster14!E40</f>
        <v>0</v>
      </c>
      <c r="AA40" s="101">
        <f>SUM(V40:Z40)</f>
        <v>1</v>
      </c>
      <c r="AB40" s="99">
        <f t="shared" si="1"/>
        <v>0.13793103448275862</v>
      </c>
      <c r="AC40" s="101">
        <v>0</v>
      </c>
      <c r="AD40" s="101">
        <v>0</v>
      </c>
      <c r="AE40" s="101">
        <v>2</v>
      </c>
    </row>
    <row r="41" spans="1:32" ht="14.4" thickBot="1" x14ac:dyDescent="0.3">
      <c r="A41" s="89" t="s">
        <v>27</v>
      </c>
      <c r="B41" s="97">
        <v>58092</v>
      </c>
      <c r="C41" s="97">
        <v>47849</v>
      </c>
      <c r="D41" s="109">
        <v>36614</v>
      </c>
      <c r="E41" s="97">
        <v>69048</v>
      </c>
      <c r="F41" s="97">
        <v>70478</v>
      </c>
      <c r="G41" s="98">
        <f>SUM(B41:F41)</f>
        <v>282081</v>
      </c>
      <c r="H41" s="97">
        <v>19</v>
      </c>
      <c r="I41" s="97">
        <v>8</v>
      </c>
      <c r="J41" s="97">
        <v>70</v>
      </c>
      <c r="K41" s="97">
        <v>22</v>
      </c>
      <c r="L41" s="97">
        <v>8</v>
      </c>
      <c r="M41" s="97">
        <f>SUM(H41:L41)</f>
        <v>127</v>
      </c>
      <c r="N41" s="99">
        <f t="shared" si="3"/>
        <v>4.5022528989900064E-2</v>
      </c>
      <c r="O41" s="97">
        <v>16</v>
      </c>
      <c r="P41" s="97">
        <v>9</v>
      </c>
      <c r="Q41" s="97">
        <v>30</v>
      </c>
      <c r="R41" s="97">
        <v>15</v>
      </c>
      <c r="S41" s="97">
        <v>7</v>
      </c>
      <c r="T41" s="97">
        <f>SUM(O41:S41)</f>
        <v>77</v>
      </c>
      <c r="U41" s="99">
        <f t="shared" si="0"/>
        <v>2.7297123875766181E-2</v>
      </c>
      <c r="V41" s="109">
        <v>12</v>
      </c>
      <c r="W41" s="109">
        <v>1</v>
      </c>
      <c r="X41" s="133">
        <v>14</v>
      </c>
      <c r="Y41" s="133">
        <v>11</v>
      </c>
      <c r="Z41" s="133">
        <v>1</v>
      </c>
      <c r="AA41" s="97">
        <f>SUM(V41:Z41)</f>
        <v>39</v>
      </c>
      <c r="AB41" s="99">
        <f t="shared" si="1"/>
        <v>1.3825815989024428E-2</v>
      </c>
      <c r="AC41" s="101">
        <v>18</v>
      </c>
      <c r="AD41" s="101">
        <v>4</v>
      </c>
      <c r="AE41" s="101">
        <v>570</v>
      </c>
    </row>
    <row r="42" spans="1:32" s="132" customFormat="1" ht="14.4" thickBot="1" x14ac:dyDescent="0.3">
      <c r="A42" s="128" t="s">
        <v>21</v>
      </c>
      <c r="B42" s="111">
        <f>SUM(B40:B41)</f>
        <v>58256</v>
      </c>
      <c r="C42" s="111">
        <f>SUM(C40:C41)</f>
        <v>47948</v>
      </c>
      <c r="D42" s="111">
        <f>SUM(D40:D41)</f>
        <v>36802</v>
      </c>
      <c r="E42" s="111">
        <f>SUM(E40:E41)</f>
        <v>69235</v>
      </c>
      <c r="F42" s="111">
        <f>SUM(F40:F41)</f>
        <v>70565</v>
      </c>
      <c r="G42" s="102">
        <f t="shared" ref="G42:M42" si="21">SUM(G40:G41)</f>
        <v>282806</v>
      </c>
      <c r="H42" s="115">
        <v>19</v>
      </c>
      <c r="I42" s="115">
        <f>SUM(I40:I41)</f>
        <v>8</v>
      </c>
      <c r="J42" s="115">
        <v>72</v>
      </c>
      <c r="K42" s="115">
        <v>25</v>
      </c>
      <c r="L42" s="115">
        <f>SUM(L40:L41)</f>
        <v>8</v>
      </c>
      <c r="M42" s="103">
        <f t="shared" si="21"/>
        <v>131</v>
      </c>
      <c r="N42" s="104">
        <f t="shared" si="3"/>
        <v>4.632150661584266E-2</v>
      </c>
      <c r="O42" s="111">
        <f>SUM(O40:O41)</f>
        <v>16</v>
      </c>
      <c r="P42" s="111">
        <f>SUM(P40:P41)</f>
        <v>10</v>
      </c>
      <c r="Q42" s="111">
        <f>SUM(Q40:Q41)</f>
        <v>32</v>
      </c>
      <c r="R42" s="111">
        <f>SUM(R40:R41)</f>
        <v>16</v>
      </c>
      <c r="S42" s="111">
        <v>7</v>
      </c>
      <c r="T42" s="103">
        <f>SUM(T40:T41)</f>
        <v>81</v>
      </c>
      <c r="U42" s="104">
        <f t="shared" si="0"/>
        <v>2.8641542258650808E-2</v>
      </c>
      <c r="V42" s="116">
        <v>12</v>
      </c>
      <c r="W42" s="116">
        <f t="shared" ref="W42:AA42" si="22">SUM(W40:W41)</f>
        <v>2</v>
      </c>
      <c r="X42" s="116">
        <f t="shared" si="22"/>
        <v>14</v>
      </c>
      <c r="Y42" s="116">
        <f>SUM(Y40:Y41)</f>
        <v>11</v>
      </c>
      <c r="Z42" s="116">
        <f t="shared" si="22"/>
        <v>1</v>
      </c>
      <c r="AA42" s="106">
        <f t="shared" si="22"/>
        <v>40</v>
      </c>
      <c r="AB42" s="104">
        <f t="shared" si="1"/>
        <v>1.4143971485753484E-2</v>
      </c>
      <c r="AC42" s="107">
        <f>SUM(AC40:AC41)</f>
        <v>18</v>
      </c>
      <c r="AD42" s="107">
        <f>SUM(AD40:AD41)</f>
        <v>4</v>
      </c>
      <c r="AE42" s="107">
        <f>SUM(AE40:AE41)</f>
        <v>572</v>
      </c>
    </row>
    <row r="43" spans="1:32" s="132" customFormat="1" ht="16.2" thickBot="1" x14ac:dyDescent="0.3">
      <c r="A43" s="121" t="s">
        <v>48</v>
      </c>
      <c r="B43" s="138">
        <f>B11+B25+B37+B42</f>
        <v>171721</v>
      </c>
      <c r="C43" s="134">
        <f>C11+C25+C37+C42</f>
        <v>117039</v>
      </c>
      <c r="D43" s="138">
        <f>D11+D25+D37+D42</f>
        <v>186499</v>
      </c>
      <c r="E43" s="134">
        <f>SUM(B43:D43)</f>
        <v>475259</v>
      </c>
      <c r="F43" s="134">
        <f t="shared" ref="F43:M43" si="23">F11+F25+F37+F42</f>
        <v>164897</v>
      </c>
      <c r="G43" s="122">
        <f t="shared" si="23"/>
        <v>838310</v>
      </c>
      <c r="H43" s="122">
        <f t="shared" si="23"/>
        <v>182</v>
      </c>
      <c r="I43" s="122">
        <f t="shared" si="23"/>
        <v>93</v>
      </c>
      <c r="J43" s="122">
        <f t="shared" si="23"/>
        <v>328</v>
      </c>
      <c r="K43" s="122">
        <f>K11+K25+K37+K42</f>
        <v>235</v>
      </c>
      <c r="L43" s="122">
        <f t="shared" si="23"/>
        <v>74</v>
      </c>
      <c r="M43" s="122">
        <f t="shared" si="23"/>
        <v>909</v>
      </c>
      <c r="N43" s="123">
        <f t="shared" si="3"/>
        <v>0.10843244145960325</v>
      </c>
      <c r="O43" s="122">
        <f t="shared" ref="O43:T43" si="24">O11+O25+O37+O42</f>
        <v>217</v>
      </c>
      <c r="P43" s="122">
        <f t="shared" si="24"/>
        <v>165</v>
      </c>
      <c r="Q43" s="122">
        <f t="shared" si="24"/>
        <v>371</v>
      </c>
      <c r="R43" s="122">
        <f>R11+R25+R37+R42</f>
        <v>299</v>
      </c>
      <c r="S43" s="122">
        <f t="shared" si="24"/>
        <v>157</v>
      </c>
      <c r="T43" s="122">
        <f t="shared" si="24"/>
        <v>1209</v>
      </c>
      <c r="U43" s="123">
        <f t="shared" si="0"/>
        <v>0.14421872576970332</v>
      </c>
      <c r="V43" s="122">
        <f t="shared" ref="V43:AA43" si="25">V11+V25+V37+V42</f>
        <v>83</v>
      </c>
      <c r="W43" s="122">
        <f t="shared" si="25"/>
        <v>35</v>
      </c>
      <c r="X43" s="122">
        <f t="shared" si="25"/>
        <v>222</v>
      </c>
      <c r="Y43" s="122">
        <f t="shared" si="25"/>
        <v>64</v>
      </c>
      <c r="Z43" s="122">
        <f t="shared" si="25"/>
        <v>66</v>
      </c>
      <c r="AA43" s="122">
        <f t="shared" si="25"/>
        <v>470</v>
      </c>
      <c r="AB43" s="123">
        <f t="shared" si="1"/>
        <v>5.6065178752490126E-2</v>
      </c>
      <c r="AC43" s="122">
        <f>AC11+AC25+AC37+AC42</f>
        <v>235</v>
      </c>
      <c r="AD43" s="122">
        <f>AD11+AD25+AD37+AD42</f>
        <v>114</v>
      </c>
      <c r="AE43" s="122">
        <f>AE11+AE25+AE37+AE42</f>
        <v>5118</v>
      </c>
    </row>
    <row r="44" spans="1:32" ht="13.8" x14ac:dyDescent="0.25">
      <c r="A44" s="16"/>
      <c r="B44" s="163"/>
      <c r="C44" s="163"/>
      <c r="D44" s="163"/>
      <c r="E44" s="163"/>
      <c r="F44" s="163"/>
      <c r="G44" s="163"/>
      <c r="H44" s="16"/>
      <c r="I44" s="16"/>
      <c r="J44" s="16"/>
      <c r="K44" s="16"/>
      <c r="L44" s="2"/>
      <c r="M44" s="2"/>
      <c r="N44" s="2"/>
    </row>
    <row r="45" spans="1:32" ht="13.2" customHeight="1" x14ac:dyDescent="0.25">
      <c r="B45" s="164"/>
      <c r="C45" s="164"/>
      <c r="D45" s="164"/>
      <c r="E45" s="164"/>
      <c r="F45" s="164"/>
      <c r="G45" s="164"/>
    </row>
    <row r="46" spans="1:32" ht="13.2" customHeight="1" x14ac:dyDescent="0.25">
      <c r="B46" s="164"/>
      <c r="C46" s="164"/>
      <c r="D46" s="164"/>
      <c r="E46" s="164"/>
      <c r="F46" s="164"/>
      <c r="G46" s="164"/>
    </row>
    <row r="47" spans="1:32" ht="13.2" customHeight="1" x14ac:dyDescent="0.25">
      <c r="B47" s="164"/>
      <c r="C47" s="164"/>
      <c r="D47" s="164"/>
      <c r="E47" s="164"/>
      <c r="F47" s="164"/>
      <c r="G47" s="164"/>
    </row>
    <row r="48" spans="1:32" ht="13.2" customHeight="1" x14ac:dyDescent="0.25">
      <c r="B48" s="164"/>
      <c r="C48" s="164"/>
      <c r="D48" s="164"/>
      <c r="E48" s="164"/>
      <c r="F48" s="164"/>
      <c r="G48" s="164"/>
    </row>
    <row r="49" spans="2:7" ht="13.2" customHeight="1" x14ac:dyDescent="0.25">
      <c r="B49" s="164"/>
      <c r="C49" s="164"/>
      <c r="D49" s="164"/>
      <c r="E49" s="164"/>
      <c r="F49" s="164"/>
      <c r="G49" s="164"/>
    </row>
    <row r="50" spans="2:7" ht="13.2" customHeight="1" x14ac:dyDescent="0.25">
      <c r="B50" s="164"/>
      <c r="C50" s="164"/>
      <c r="D50" s="164"/>
      <c r="E50" s="164"/>
      <c r="F50" s="164"/>
      <c r="G50" s="164"/>
    </row>
    <row r="51" spans="2:7" ht="13.2" customHeight="1" x14ac:dyDescent="0.25">
      <c r="B51" s="164"/>
      <c r="C51" s="164"/>
      <c r="D51" s="164"/>
      <c r="E51" s="164"/>
      <c r="F51" s="164"/>
      <c r="G51" s="164"/>
    </row>
    <row r="52" spans="2:7" ht="13.2" customHeight="1" x14ac:dyDescent="0.25">
      <c r="B52" s="164"/>
      <c r="C52" s="164"/>
      <c r="D52" s="164"/>
      <c r="E52" s="164"/>
      <c r="F52" s="164"/>
      <c r="G52" s="164"/>
    </row>
  </sheetData>
  <mergeCells count="9">
    <mergeCell ref="A1:AE1"/>
    <mergeCell ref="A3:A4"/>
    <mergeCell ref="V3:AA3"/>
    <mergeCell ref="N3:N4"/>
    <mergeCell ref="AB3:AB4"/>
    <mergeCell ref="U3:U4"/>
    <mergeCell ref="O3:T3"/>
    <mergeCell ref="H3:M3"/>
    <mergeCell ref="B3:G3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H42"/>
  <sheetViews>
    <sheetView zoomScaleNormal="100" workbookViewId="0">
      <selection activeCell="D36" sqref="D36"/>
    </sheetView>
  </sheetViews>
  <sheetFormatPr baseColWidth="10" defaultRowHeight="13.2" x14ac:dyDescent="0.25"/>
  <cols>
    <col min="1" max="1" width="26" bestFit="1" customWidth="1"/>
    <col min="2" max="2" width="17" customWidth="1"/>
    <col min="3" max="3" width="23.21875" customWidth="1"/>
    <col min="4" max="4" width="21.44140625" customWidth="1"/>
    <col min="5" max="5" width="16.44140625" customWidth="1"/>
    <col min="6" max="6" width="18.5546875" customWidth="1"/>
    <col min="7" max="7" width="18.44140625" customWidth="1"/>
    <col min="8" max="8" width="20.44140625" customWidth="1"/>
  </cols>
  <sheetData>
    <row r="1" spans="1:8" s="1" customFormat="1" ht="35.1" customHeight="1" x14ac:dyDescent="0.3">
      <c r="A1" s="497" t="s">
        <v>53</v>
      </c>
      <c r="B1" s="497"/>
      <c r="C1" s="497"/>
      <c r="D1" s="497"/>
      <c r="E1" s="497"/>
      <c r="F1" s="497"/>
      <c r="G1" s="497"/>
      <c r="H1" s="78" t="s">
        <v>71</v>
      </c>
    </row>
    <row r="2" spans="1:8" ht="2.5499999999999998" customHeight="1" thickBot="1" x14ac:dyDescent="0.3"/>
    <row r="3" spans="1:8" ht="57" customHeight="1" x14ac:dyDescent="0.25">
      <c r="A3" s="498" t="s">
        <v>24</v>
      </c>
      <c r="B3" s="500" t="s">
        <v>0</v>
      </c>
      <c r="C3" s="498" t="s">
        <v>55</v>
      </c>
      <c r="D3" s="502" t="s">
        <v>56</v>
      </c>
      <c r="E3" s="504" t="s">
        <v>57</v>
      </c>
      <c r="F3" s="22" t="s">
        <v>45</v>
      </c>
      <c r="G3" s="506" t="s">
        <v>58</v>
      </c>
      <c r="H3" s="507"/>
    </row>
    <row r="4" spans="1:8" ht="16.2" thickBot="1" x14ac:dyDescent="0.35">
      <c r="A4" s="499"/>
      <c r="B4" s="501"/>
      <c r="C4" s="499"/>
      <c r="D4" s="503"/>
      <c r="E4" s="505"/>
      <c r="F4" s="23"/>
      <c r="G4" s="24" t="s">
        <v>59</v>
      </c>
      <c r="H4" s="25" t="s">
        <v>60</v>
      </c>
    </row>
    <row r="5" spans="1:8" ht="14.4" thickBot="1" x14ac:dyDescent="0.3">
      <c r="A5" s="3" t="s">
        <v>61</v>
      </c>
      <c r="F5" s="20"/>
    </row>
    <row r="6" spans="1:8" ht="13.8" x14ac:dyDescent="0.25">
      <c r="A6" s="7" t="s">
        <v>1</v>
      </c>
      <c r="B6" s="26">
        <v>129</v>
      </c>
      <c r="C6" s="27">
        <v>0</v>
      </c>
      <c r="D6" s="26">
        <v>1</v>
      </c>
      <c r="E6" s="27">
        <v>0</v>
      </c>
      <c r="F6" s="28">
        <v>0</v>
      </c>
      <c r="G6" s="29">
        <v>0</v>
      </c>
      <c r="H6" s="30">
        <v>0</v>
      </c>
    </row>
    <row r="7" spans="1:8" ht="13.8" x14ac:dyDescent="0.25">
      <c r="A7" s="8" t="s">
        <v>2</v>
      </c>
      <c r="B7" s="31">
        <v>958</v>
      </c>
      <c r="C7" s="32">
        <v>2</v>
      </c>
      <c r="D7" s="31">
        <v>8</v>
      </c>
      <c r="E7" s="32">
        <v>4</v>
      </c>
      <c r="F7" s="31">
        <v>1</v>
      </c>
      <c r="G7" s="33">
        <v>2</v>
      </c>
      <c r="H7" s="34">
        <v>6</v>
      </c>
    </row>
    <row r="8" spans="1:8" ht="13.8" x14ac:dyDescent="0.25">
      <c r="A8" s="8" t="s">
        <v>14</v>
      </c>
      <c r="B8" s="31">
        <v>98</v>
      </c>
      <c r="C8" s="32">
        <v>0</v>
      </c>
      <c r="D8" s="31">
        <v>0</v>
      </c>
      <c r="E8" s="32">
        <v>0</v>
      </c>
      <c r="F8" s="31">
        <v>0</v>
      </c>
      <c r="G8" s="33">
        <v>0</v>
      </c>
      <c r="H8" s="35">
        <v>0</v>
      </c>
    </row>
    <row r="9" spans="1:8" ht="13.8" x14ac:dyDescent="0.25">
      <c r="A9" s="9" t="s">
        <v>3</v>
      </c>
      <c r="B9" s="36">
        <v>145</v>
      </c>
      <c r="C9" s="37">
        <v>0</v>
      </c>
      <c r="D9" s="36">
        <v>0</v>
      </c>
      <c r="E9" s="37">
        <v>0</v>
      </c>
      <c r="F9" s="36">
        <v>0</v>
      </c>
      <c r="G9" s="38">
        <v>0</v>
      </c>
      <c r="H9" s="39">
        <v>0</v>
      </c>
    </row>
    <row r="10" spans="1:8" ht="29.55" customHeight="1" thickBot="1" x14ac:dyDescent="0.3">
      <c r="A10" s="40" t="s">
        <v>23</v>
      </c>
      <c r="B10" s="41">
        <v>993</v>
      </c>
      <c r="C10" s="42">
        <v>2</v>
      </c>
      <c r="D10" s="41">
        <v>2</v>
      </c>
      <c r="E10" s="42">
        <v>0</v>
      </c>
      <c r="F10" s="41">
        <v>3</v>
      </c>
      <c r="G10" s="43">
        <v>0</v>
      </c>
      <c r="H10" s="44">
        <v>20</v>
      </c>
    </row>
    <row r="11" spans="1:8" ht="14.4" thickBot="1" x14ac:dyDescent="0.3">
      <c r="A11" s="10" t="s">
        <v>21</v>
      </c>
      <c r="B11" s="17">
        <v>2323</v>
      </c>
      <c r="C11" s="45">
        <v>4</v>
      </c>
      <c r="D11" s="17">
        <v>11</v>
      </c>
      <c r="E11" s="45">
        <v>4</v>
      </c>
      <c r="F11" s="17">
        <v>4</v>
      </c>
      <c r="G11" s="46">
        <v>2</v>
      </c>
      <c r="H11" s="47">
        <v>26</v>
      </c>
    </row>
    <row r="12" spans="1:8" ht="13.8" x14ac:dyDescent="0.25">
      <c r="A12" s="4"/>
      <c r="B12" s="2"/>
      <c r="C12" s="2"/>
      <c r="D12" s="2"/>
      <c r="E12" s="2"/>
      <c r="F12" s="29"/>
      <c r="G12" s="2"/>
      <c r="H12" s="48"/>
    </row>
    <row r="13" spans="1:8" ht="14.4" thickBot="1" x14ac:dyDescent="0.3">
      <c r="A13" s="3" t="s">
        <v>62</v>
      </c>
      <c r="F13" s="49"/>
    </row>
    <row r="14" spans="1:8" ht="13.8" x14ac:dyDescent="0.25">
      <c r="A14" s="7" t="s">
        <v>4</v>
      </c>
      <c r="B14" s="26">
        <v>26</v>
      </c>
      <c r="C14" s="27">
        <v>0</v>
      </c>
      <c r="D14" s="26">
        <v>0</v>
      </c>
      <c r="E14" s="27">
        <v>0</v>
      </c>
      <c r="F14" s="26">
        <v>0</v>
      </c>
      <c r="G14" s="50">
        <v>0</v>
      </c>
      <c r="H14" s="51">
        <v>0</v>
      </c>
    </row>
    <row r="15" spans="1:8" ht="13.8" x14ac:dyDescent="0.25">
      <c r="A15" s="11" t="s">
        <v>5</v>
      </c>
      <c r="B15" s="31">
        <v>193</v>
      </c>
      <c r="C15" s="32">
        <v>0</v>
      </c>
      <c r="D15" s="31">
        <v>1</v>
      </c>
      <c r="E15" s="32">
        <v>0</v>
      </c>
      <c r="F15" s="31">
        <v>0</v>
      </c>
      <c r="G15" s="33">
        <v>0</v>
      </c>
      <c r="H15" s="34">
        <v>4</v>
      </c>
    </row>
    <row r="16" spans="1:8" ht="13.8" x14ac:dyDescent="0.25">
      <c r="A16" s="11" t="s">
        <v>6</v>
      </c>
      <c r="B16" s="31">
        <v>80</v>
      </c>
      <c r="C16" s="32">
        <v>0</v>
      </c>
      <c r="D16" s="31">
        <v>0</v>
      </c>
      <c r="E16" s="32">
        <v>0</v>
      </c>
      <c r="F16" s="31">
        <v>0</v>
      </c>
      <c r="G16" s="33">
        <v>0</v>
      </c>
      <c r="H16" s="35">
        <v>0</v>
      </c>
    </row>
    <row r="17" spans="1:8" ht="13.8" x14ac:dyDescent="0.25">
      <c r="A17" s="11" t="s">
        <v>7</v>
      </c>
      <c r="B17" s="31">
        <v>36</v>
      </c>
      <c r="C17" s="32">
        <v>0</v>
      </c>
      <c r="D17" s="31">
        <v>0</v>
      </c>
      <c r="E17" s="32">
        <v>0</v>
      </c>
      <c r="F17" s="31">
        <v>0</v>
      </c>
      <c r="G17" s="33">
        <v>0</v>
      </c>
      <c r="H17" s="35">
        <v>2</v>
      </c>
    </row>
    <row r="18" spans="1:8" ht="13.8" x14ac:dyDescent="0.25">
      <c r="A18" s="11" t="s">
        <v>8</v>
      </c>
      <c r="B18" s="31">
        <v>9</v>
      </c>
      <c r="C18" s="32">
        <v>0</v>
      </c>
      <c r="D18" s="31">
        <v>0</v>
      </c>
      <c r="E18" s="32">
        <v>0</v>
      </c>
      <c r="F18" s="31">
        <v>0</v>
      </c>
      <c r="G18" s="33">
        <v>0</v>
      </c>
      <c r="H18" s="35">
        <v>0</v>
      </c>
    </row>
    <row r="19" spans="1:8" ht="13.8" x14ac:dyDescent="0.25">
      <c r="A19" s="11" t="s">
        <v>9</v>
      </c>
      <c r="B19" s="31">
        <v>19</v>
      </c>
      <c r="C19" s="32">
        <v>1</v>
      </c>
      <c r="D19" s="31">
        <v>0</v>
      </c>
      <c r="E19" s="32">
        <v>0</v>
      </c>
      <c r="F19" s="31">
        <v>0</v>
      </c>
      <c r="G19" s="33">
        <v>0</v>
      </c>
      <c r="H19" s="35">
        <v>0</v>
      </c>
    </row>
    <row r="20" spans="1:8" ht="13.8" x14ac:dyDescent="0.25">
      <c r="A20" s="11" t="s">
        <v>10</v>
      </c>
      <c r="B20" s="31">
        <v>14</v>
      </c>
      <c r="C20" s="32">
        <v>0</v>
      </c>
      <c r="D20" s="31">
        <v>0</v>
      </c>
      <c r="E20" s="32">
        <v>0</v>
      </c>
      <c r="F20" s="31">
        <v>0</v>
      </c>
      <c r="G20" s="33">
        <v>0</v>
      </c>
      <c r="H20" s="35">
        <v>0</v>
      </c>
    </row>
    <row r="21" spans="1:8" ht="13.8" x14ac:dyDescent="0.25">
      <c r="A21" s="11" t="s">
        <v>11</v>
      </c>
      <c r="B21" s="31">
        <v>74</v>
      </c>
      <c r="C21" s="32">
        <v>0</v>
      </c>
      <c r="D21" s="31">
        <v>0</v>
      </c>
      <c r="E21" s="32">
        <v>0</v>
      </c>
      <c r="F21" s="31">
        <v>0</v>
      </c>
      <c r="G21" s="33">
        <v>0</v>
      </c>
      <c r="H21" s="35">
        <v>3</v>
      </c>
    </row>
    <row r="22" spans="1:8" ht="13.8" x14ac:dyDescent="0.25">
      <c r="A22" s="11" t="s">
        <v>12</v>
      </c>
      <c r="B22" s="31">
        <v>1413</v>
      </c>
      <c r="C22" s="32">
        <v>7</v>
      </c>
      <c r="D22" s="31">
        <v>2</v>
      </c>
      <c r="E22" s="32">
        <v>0</v>
      </c>
      <c r="F22" s="31">
        <v>0</v>
      </c>
      <c r="G22" s="33">
        <v>1</v>
      </c>
      <c r="H22" s="34">
        <v>14</v>
      </c>
    </row>
    <row r="23" spans="1:8" ht="13.8" x14ac:dyDescent="0.25">
      <c r="A23" s="12" t="s">
        <v>13</v>
      </c>
      <c r="B23" s="36">
        <v>7</v>
      </c>
      <c r="C23" s="37">
        <v>0</v>
      </c>
      <c r="D23" s="36">
        <v>1</v>
      </c>
      <c r="E23" s="37">
        <v>0</v>
      </c>
      <c r="F23" s="36">
        <v>2</v>
      </c>
      <c r="G23" s="38">
        <v>0</v>
      </c>
      <c r="H23" s="52">
        <v>0</v>
      </c>
    </row>
    <row r="24" spans="1:8" ht="27" customHeight="1" thickBot="1" x14ac:dyDescent="0.3">
      <c r="A24" s="40" t="s">
        <v>23</v>
      </c>
      <c r="B24" s="41">
        <v>471</v>
      </c>
      <c r="C24" s="42">
        <v>1</v>
      </c>
      <c r="D24" s="41">
        <v>0</v>
      </c>
      <c r="E24" s="42">
        <v>0</v>
      </c>
      <c r="F24" s="41">
        <v>0</v>
      </c>
      <c r="G24" s="43">
        <v>0</v>
      </c>
      <c r="H24" s="53">
        <v>2</v>
      </c>
    </row>
    <row r="25" spans="1:8" ht="14.4" thickBot="1" x14ac:dyDescent="0.3">
      <c r="A25" s="13" t="s">
        <v>22</v>
      </c>
      <c r="B25" s="17">
        <v>2342</v>
      </c>
      <c r="C25" s="55">
        <v>9</v>
      </c>
      <c r="D25" s="56">
        <v>4</v>
      </c>
      <c r="E25" s="45">
        <v>0</v>
      </c>
      <c r="F25" s="17">
        <v>2</v>
      </c>
      <c r="G25" s="46">
        <v>1</v>
      </c>
      <c r="H25" s="56">
        <v>25</v>
      </c>
    </row>
    <row r="26" spans="1:8" ht="13.8" x14ac:dyDescent="0.25">
      <c r="A26" s="5"/>
      <c r="B26" s="2"/>
      <c r="C26" s="2"/>
      <c r="D26" s="2"/>
      <c r="E26" s="2"/>
      <c r="F26" s="29"/>
      <c r="G26" s="2"/>
      <c r="H26" s="2"/>
    </row>
    <row r="27" spans="1:8" ht="14.4" thickBot="1" x14ac:dyDescent="0.3">
      <c r="A27" s="6" t="s">
        <v>63</v>
      </c>
      <c r="B27" s="2"/>
      <c r="C27" s="2"/>
      <c r="D27" s="2"/>
      <c r="E27" s="2"/>
      <c r="F27" s="49"/>
      <c r="G27" s="2"/>
      <c r="H27" s="2"/>
    </row>
    <row r="28" spans="1:8" ht="13.8" x14ac:dyDescent="0.25">
      <c r="A28" s="7" t="s">
        <v>15</v>
      </c>
      <c r="B28" s="26">
        <v>3626</v>
      </c>
      <c r="C28" s="27">
        <v>1</v>
      </c>
      <c r="D28" s="26">
        <v>4</v>
      </c>
      <c r="E28" s="27">
        <v>1</v>
      </c>
      <c r="F28" s="26">
        <v>1</v>
      </c>
      <c r="G28" s="50">
        <v>0</v>
      </c>
      <c r="H28" s="51">
        <v>5</v>
      </c>
    </row>
    <row r="29" spans="1:8" ht="13.8" x14ac:dyDescent="0.25">
      <c r="A29" s="11" t="s">
        <v>16</v>
      </c>
      <c r="B29" s="31">
        <v>1423</v>
      </c>
      <c r="C29" s="32">
        <v>6</v>
      </c>
      <c r="D29" s="31">
        <v>6</v>
      </c>
      <c r="E29" s="32">
        <v>5</v>
      </c>
      <c r="F29" s="31">
        <v>3</v>
      </c>
      <c r="G29" s="33">
        <v>2</v>
      </c>
      <c r="H29" s="35">
        <v>13</v>
      </c>
    </row>
    <row r="30" spans="1:8" ht="13.8" x14ac:dyDescent="0.25">
      <c r="A30" s="11" t="s">
        <v>34</v>
      </c>
      <c r="B30" s="31">
        <v>1049</v>
      </c>
      <c r="C30" s="32">
        <v>0</v>
      </c>
      <c r="D30" s="31">
        <v>3</v>
      </c>
      <c r="E30" s="32">
        <v>0</v>
      </c>
      <c r="F30" s="31">
        <v>2</v>
      </c>
      <c r="G30" s="33">
        <v>0</v>
      </c>
      <c r="H30" s="35">
        <v>6</v>
      </c>
    </row>
    <row r="31" spans="1:8" ht="13.8" x14ac:dyDescent="0.25">
      <c r="A31" s="11" t="s">
        <v>17</v>
      </c>
      <c r="B31" s="31">
        <v>7564</v>
      </c>
      <c r="C31" s="32">
        <v>4</v>
      </c>
      <c r="D31" s="31">
        <v>5</v>
      </c>
      <c r="E31" s="32">
        <v>0</v>
      </c>
      <c r="F31" s="31">
        <v>1</v>
      </c>
      <c r="G31" s="33">
        <v>0</v>
      </c>
      <c r="H31" s="35">
        <v>17</v>
      </c>
    </row>
    <row r="32" spans="1:8" ht="13.8" x14ac:dyDescent="0.25">
      <c r="A32" s="11" t="s">
        <v>18</v>
      </c>
      <c r="B32" s="31">
        <v>2082</v>
      </c>
      <c r="C32" s="32">
        <v>2</v>
      </c>
      <c r="D32" s="31">
        <v>1</v>
      </c>
      <c r="E32" s="32">
        <v>1</v>
      </c>
      <c r="F32" s="31">
        <v>2</v>
      </c>
      <c r="G32" s="33">
        <v>1</v>
      </c>
      <c r="H32" s="35">
        <v>2</v>
      </c>
    </row>
    <row r="33" spans="1:8" ht="13.8" x14ac:dyDescent="0.25">
      <c r="A33" s="11" t="s">
        <v>19</v>
      </c>
      <c r="B33" s="31">
        <v>10792</v>
      </c>
      <c r="C33" s="32">
        <v>26</v>
      </c>
      <c r="D33" s="31">
        <v>37</v>
      </c>
      <c r="E33" s="32">
        <v>20</v>
      </c>
      <c r="F33" s="31">
        <v>18</v>
      </c>
      <c r="G33" s="33">
        <v>6</v>
      </c>
      <c r="H33" s="35">
        <v>74</v>
      </c>
    </row>
    <row r="34" spans="1:8" ht="13.8" x14ac:dyDescent="0.25">
      <c r="A34" s="11" t="s">
        <v>20</v>
      </c>
      <c r="B34" s="31">
        <v>7731</v>
      </c>
      <c r="C34" s="32">
        <v>19</v>
      </c>
      <c r="D34" s="31">
        <v>22</v>
      </c>
      <c r="E34" s="32">
        <v>6</v>
      </c>
      <c r="F34" s="31">
        <v>15</v>
      </c>
      <c r="G34" s="33">
        <v>4</v>
      </c>
      <c r="H34" s="35">
        <v>66</v>
      </c>
    </row>
    <row r="35" spans="1:8" ht="13.8" x14ac:dyDescent="0.25">
      <c r="A35" s="11" t="s">
        <v>25</v>
      </c>
      <c r="B35" s="31">
        <v>58</v>
      </c>
      <c r="C35" s="32">
        <v>0</v>
      </c>
      <c r="D35" s="31">
        <v>0</v>
      </c>
      <c r="E35" s="32">
        <v>0</v>
      </c>
      <c r="F35" s="31">
        <v>1</v>
      </c>
      <c r="G35" s="33">
        <v>0</v>
      </c>
      <c r="H35" s="35">
        <v>2</v>
      </c>
    </row>
    <row r="36" spans="1:8" ht="14.4" thickBot="1" x14ac:dyDescent="0.3">
      <c r="A36" s="12" t="s">
        <v>26</v>
      </c>
      <c r="B36" s="36">
        <v>71086</v>
      </c>
      <c r="C36" s="37">
        <v>89</v>
      </c>
      <c r="D36" s="36">
        <v>150</v>
      </c>
      <c r="E36" s="37">
        <v>65</v>
      </c>
      <c r="F36" s="36">
        <v>28</v>
      </c>
      <c r="G36" s="38">
        <v>13</v>
      </c>
      <c r="H36" s="52">
        <v>412</v>
      </c>
    </row>
    <row r="37" spans="1:8" ht="14.4" thickBot="1" x14ac:dyDescent="0.3">
      <c r="A37" s="13" t="s">
        <v>21</v>
      </c>
      <c r="B37" s="17">
        <v>105411</v>
      </c>
      <c r="C37" s="45">
        <v>147</v>
      </c>
      <c r="D37" s="17">
        <v>228</v>
      </c>
      <c r="E37" s="45">
        <v>98</v>
      </c>
      <c r="F37" s="17">
        <v>71</v>
      </c>
      <c r="G37" s="46">
        <v>26</v>
      </c>
      <c r="H37" s="56">
        <v>597</v>
      </c>
    </row>
    <row r="38" spans="1:8" ht="13.8" x14ac:dyDescent="0.25">
      <c r="A38" s="14"/>
      <c r="B38" s="29"/>
      <c r="C38" s="29"/>
      <c r="D38" s="29"/>
      <c r="E38" s="29"/>
      <c r="F38" s="29"/>
      <c r="G38" s="29"/>
      <c r="H38" s="29"/>
    </row>
    <row r="39" spans="1:8" ht="14.4" thickBot="1" x14ac:dyDescent="0.3">
      <c r="A39" s="15" t="s">
        <v>28</v>
      </c>
      <c r="B39" s="49"/>
      <c r="C39" s="49"/>
      <c r="D39" s="49"/>
      <c r="E39" s="49"/>
      <c r="F39" s="49"/>
      <c r="G39" s="49"/>
      <c r="H39" s="49"/>
    </row>
    <row r="40" spans="1:8" ht="13.8" x14ac:dyDescent="0.25">
      <c r="A40" s="7" t="s">
        <v>68</v>
      </c>
      <c r="B40" s="26">
        <v>141</v>
      </c>
      <c r="C40" s="27">
        <v>2</v>
      </c>
      <c r="D40" s="26">
        <v>0</v>
      </c>
      <c r="E40" s="27">
        <v>0</v>
      </c>
      <c r="F40" s="26">
        <v>0</v>
      </c>
      <c r="G40" s="50">
        <v>0</v>
      </c>
      <c r="H40" s="51">
        <v>0</v>
      </c>
    </row>
    <row r="41" spans="1:8" ht="14.4" thickBot="1" x14ac:dyDescent="0.3">
      <c r="A41" s="12" t="s">
        <v>27</v>
      </c>
      <c r="B41" s="36">
        <v>57256</v>
      </c>
      <c r="C41" s="37">
        <v>20</v>
      </c>
      <c r="D41" s="36">
        <v>13</v>
      </c>
      <c r="E41" s="37">
        <v>13</v>
      </c>
      <c r="F41" s="36">
        <v>7</v>
      </c>
      <c r="G41" s="38">
        <v>0</v>
      </c>
      <c r="H41" s="52">
        <v>29</v>
      </c>
    </row>
    <row r="42" spans="1:8" ht="14.4" thickBot="1" x14ac:dyDescent="0.3">
      <c r="A42" s="13" t="s">
        <v>21</v>
      </c>
      <c r="B42" s="17">
        <v>57397</v>
      </c>
      <c r="C42" s="45">
        <v>22</v>
      </c>
      <c r="D42" s="17">
        <v>13</v>
      </c>
      <c r="E42" s="45">
        <v>13</v>
      </c>
      <c r="F42" s="17">
        <v>7</v>
      </c>
      <c r="G42" s="46">
        <v>0</v>
      </c>
      <c r="H42" s="56">
        <v>29</v>
      </c>
    </row>
  </sheetData>
  <mergeCells count="7">
    <mergeCell ref="A1:G1"/>
    <mergeCell ref="A3:A4"/>
    <mergeCell ref="B3:B4"/>
    <mergeCell ref="C3:C4"/>
    <mergeCell ref="D3:D4"/>
    <mergeCell ref="E3:E4"/>
    <mergeCell ref="G3:H3"/>
  </mergeCells>
  <pageMargins left="0.39370078740157483" right="0.39370078740157483" top="0.19685039370078741" bottom="0.19685039370078741" header="0.51181102362204722" footer="0.51181102362204722"/>
  <pageSetup paperSize="9" scale="83" orientation="landscape" horizontalDpi="300" verticalDpi="300" r:id="rId1"/>
  <headerFooter alignWithMargins="0">
    <oddHeader>&amp;L&amp;F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J42"/>
  <sheetViews>
    <sheetView zoomScale="80" zoomScaleNormal="80" workbookViewId="0">
      <selection activeCell="D36" sqref="D36"/>
    </sheetView>
  </sheetViews>
  <sheetFormatPr baseColWidth="10" defaultRowHeight="13.2" x14ac:dyDescent="0.25"/>
  <cols>
    <col min="1" max="1" width="26" bestFit="1" customWidth="1"/>
    <col min="2" max="2" width="17" customWidth="1"/>
    <col min="3" max="3" width="23.21875" customWidth="1"/>
    <col min="4" max="4" width="21.44140625" customWidth="1"/>
    <col min="5" max="5" width="16.44140625" customWidth="1"/>
    <col min="6" max="6" width="18.5546875" customWidth="1"/>
    <col min="7" max="7" width="18.44140625" customWidth="1"/>
    <col min="8" max="8" width="20.44140625" customWidth="1"/>
  </cols>
  <sheetData>
    <row r="1" spans="1:10" s="1" customFormat="1" ht="35.1" customHeight="1" x14ac:dyDescent="0.3">
      <c r="A1" s="497" t="s">
        <v>53</v>
      </c>
      <c r="B1" s="497"/>
      <c r="C1" s="497"/>
      <c r="D1" s="497"/>
      <c r="E1" s="497"/>
      <c r="F1" s="508"/>
      <c r="G1" s="509" t="s">
        <v>69</v>
      </c>
      <c r="H1" s="510"/>
    </row>
    <row r="2" spans="1:10" ht="10.35" customHeight="1" thickBot="1" x14ac:dyDescent="0.3">
      <c r="J2" t="s">
        <v>70</v>
      </c>
    </row>
    <row r="3" spans="1:10" ht="57" customHeight="1" x14ac:dyDescent="0.25">
      <c r="A3" s="498" t="s">
        <v>24</v>
      </c>
      <c r="B3" s="500" t="s">
        <v>0</v>
      </c>
      <c r="C3" s="498" t="s">
        <v>55</v>
      </c>
      <c r="D3" s="502" t="s">
        <v>56</v>
      </c>
      <c r="E3" s="504" t="s">
        <v>57</v>
      </c>
      <c r="F3" s="22" t="s">
        <v>45</v>
      </c>
      <c r="G3" s="506" t="s">
        <v>58</v>
      </c>
      <c r="H3" s="507"/>
    </row>
    <row r="4" spans="1:10" ht="16.2" thickBot="1" x14ac:dyDescent="0.35">
      <c r="A4" s="499"/>
      <c r="B4" s="501"/>
      <c r="C4" s="499"/>
      <c r="D4" s="503"/>
      <c r="E4" s="505"/>
      <c r="F4" s="23"/>
      <c r="G4" s="24" t="s">
        <v>59</v>
      </c>
      <c r="H4" s="25" t="s">
        <v>60</v>
      </c>
    </row>
    <row r="5" spans="1:10" ht="14.4" thickBot="1" x14ac:dyDescent="0.3">
      <c r="A5" s="3" t="s">
        <v>61</v>
      </c>
      <c r="F5" s="20"/>
    </row>
    <row r="6" spans="1:10" ht="13.8" x14ac:dyDescent="0.25">
      <c r="A6" s="7" t="s">
        <v>1</v>
      </c>
      <c r="B6" s="26">
        <f>3+9+5+4+4+5+2</f>
        <v>32</v>
      </c>
      <c r="C6" s="27">
        <v>0</v>
      </c>
      <c r="D6" s="26">
        <v>1</v>
      </c>
      <c r="E6" s="27">
        <v>0</v>
      </c>
      <c r="F6" s="28">
        <v>0</v>
      </c>
      <c r="G6" s="29">
        <v>0</v>
      </c>
      <c r="H6" s="30">
        <v>0</v>
      </c>
    </row>
    <row r="7" spans="1:10" ht="13.8" x14ac:dyDescent="0.25">
      <c r="A7" s="8" t="s">
        <v>2</v>
      </c>
      <c r="B7" s="31">
        <f>37+49+37+17+23+30+7</f>
        <v>200</v>
      </c>
      <c r="C7" s="32">
        <v>1</v>
      </c>
      <c r="D7" s="31">
        <v>0</v>
      </c>
      <c r="E7" s="32">
        <v>0</v>
      </c>
      <c r="F7" s="31">
        <v>1</v>
      </c>
      <c r="G7" s="33">
        <v>0</v>
      </c>
      <c r="H7" s="34">
        <v>4</v>
      </c>
    </row>
    <row r="8" spans="1:10" ht="13.8" x14ac:dyDescent="0.25">
      <c r="A8" s="8" t="s">
        <v>14</v>
      </c>
      <c r="B8" s="31">
        <f>22+14+6+4</f>
        <v>46</v>
      </c>
      <c r="C8" s="32">
        <v>0</v>
      </c>
      <c r="D8" s="31">
        <v>0</v>
      </c>
      <c r="E8" s="32">
        <v>0</v>
      </c>
      <c r="F8" s="31">
        <v>0</v>
      </c>
      <c r="G8" s="33">
        <v>0</v>
      </c>
      <c r="H8" s="35">
        <v>1</v>
      </c>
    </row>
    <row r="9" spans="1:10" ht="13.8" x14ac:dyDescent="0.25">
      <c r="A9" s="9" t="s">
        <v>3</v>
      </c>
      <c r="B9" s="36">
        <f>39+9+6+3+3+10+1</f>
        <v>71</v>
      </c>
      <c r="C9" s="37">
        <v>0</v>
      </c>
      <c r="D9" s="36">
        <v>0</v>
      </c>
      <c r="E9" s="37">
        <v>0</v>
      </c>
      <c r="F9" s="36">
        <v>0</v>
      </c>
      <c r="G9" s="38">
        <v>0</v>
      </c>
      <c r="H9" s="39">
        <v>1</v>
      </c>
    </row>
    <row r="10" spans="1:10" ht="29.55" customHeight="1" thickBot="1" x14ac:dyDescent="0.3">
      <c r="A10" s="40" t="s">
        <v>23</v>
      </c>
      <c r="B10" s="41">
        <f>35+148+19+7+26+55+3</f>
        <v>293</v>
      </c>
      <c r="C10" s="42">
        <v>1</v>
      </c>
      <c r="D10" s="41">
        <f>2+2</f>
        <v>4</v>
      </c>
      <c r="E10" s="42">
        <v>0</v>
      </c>
      <c r="F10" s="41">
        <v>1</v>
      </c>
      <c r="G10" s="43">
        <v>0</v>
      </c>
      <c r="H10" s="44">
        <v>6</v>
      </c>
    </row>
    <row r="11" spans="1:10" ht="14.4" thickBot="1" x14ac:dyDescent="0.3">
      <c r="A11" s="10" t="s">
        <v>21</v>
      </c>
      <c r="B11" s="70">
        <f t="shared" ref="B11:H11" si="0">SUM(B6:B10)</f>
        <v>642</v>
      </c>
      <c r="C11" s="69">
        <f t="shared" si="0"/>
        <v>2</v>
      </c>
      <c r="D11" s="70">
        <f t="shared" si="0"/>
        <v>5</v>
      </c>
      <c r="E11" s="69">
        <f t="shared" si="0"/>
        <v>0</v>
      </c>
      <c r="F11" s="70">
        <f t="shared" si="0"/>
        <v>2</v>
      </c>
      <c r="G11" s="71">
        <f t="shared" si="0"/>
        <v>0</v>
      </c>
      <c r="H11" s="72">
        <f t="shared" si="0"/>
        <v>12</v>
      </c>
    </row>
    <row r="12" spans="1:10" ht="13.8" x14ac:dyDescent="0.25">
      <c r="A12" s="4"/>
      <c r="B12" s="2"/>
      <c r="C12" s="2"/>
      <c r="D12" s="2"/>
      <c r="E12" s="2"/>
      <c r="F12" s="29"/>
      <c r="G12" s="2"/>
      <c r="H12" s="48"/>
    </row>
    <row r="13" spans="1:10" ht="14.4" thickBot="1" x14ac:dyDescent="0.3">
      <c r="A13" s="3" t="s">
        <v>62</v>
      </c>
      <c r="F13" s="49"/>
      <c r="H13" s="75"/>
    </row>
    <row r="14" spans="1:10" ht="13.8" x14ac:dyDescent="0.25">
      <c r="A14" s="7" t="s">
        <v>4</v>
      </c>
      <c r="B14" s="26">
        <f>2+1+1</f>
        <v>4</v>
      </c>
      <c r="C14" s="27">
        <v>0</v>
      </c>
      <c r="D14" s="26">
        <v>0</v>
      </c>
      <c r="E14" s="27">
        <v>0</v>
      </c>
      <c r="F14" s="26">
        <v>0</v>
      </c>
      <c r="G14" s="50">
        <v>0</v>
      </c>
      <c r="H14" s="51">
        <v>0</v>
      </c>
    </row>
    <row r="15" spans="1:10" ht="13.8" x14ac:dyDescent="0.25">
      <c r="A15" s="11" t="s">
        <v>5</v>
      </c>
      <c r="B15" s="31">
        <f>14+8+8+3+1</f>
        <v>34</v>
      </c>
      <c r="C15" s="32">
        <v>0</v>
      </c>
      <c r="D15" s="31">
        <v>0</v>
      </c>
      <c r="E15" s="32">
        <v>0</v>
      </c>
      <c r="F15" s="31">
        <v>0</v>
      </c>
      <c r="G15" s="33">
        <v>0</v>
      </c>
      <c r="H15" s="34">
        <v>1</v>
      </c>
    </row>
    <row r="16" spans="1:10" ht="13.8" x14ac:dyDescent="0.25">
      <c r="A16" s="11" t="s">
        <v>6</v>
      </c>
      <c r="B16" s="31">
        <f>19+2+3+1+2</f>
        <v>27</v>
      </c>
      <c r="C16" s="32">
        <v>0</v>
      </c>
      <c r="D16" s="31">
        <v>0</v>
      </c>
      <c r="E16" s="32">
        <v>0</v>
      </c>
      <c r="F16" s="31">
        <v>0</v>
      </c>
      <c r="G16" s="33">
        <v>0</v>
      </c>
      <c r="H16" s="35">
        <v>0</v>
      </c>
      <c r="J16" t="s">
        <v>70</v>
      </c>
    </row>
    <row r="17" spans="1:8" ht="13.8" x14ac:dyDescent="0.25">
      <c r="A17" s="11" t="s">
        <v>7</v>
      </c>
      <c r="B17" s="31">
        <f>0+3+0+3+5+0+8</f>
        <v>19</v>
      </c>
      <c r="C17" s="32">
        <v>0</v>
      </c>
      <c r="D17" s="31">
        <v>0</v>
      </c>
      <c r="E17" s="32">
        <v>0</v>
      </c>
      <c r="F17" s="31">
        <v>0</v>
      </c>
      <c r="G17" s="33">
        <v>0</v>
      </c>
      <c r="H17" s="35">
        <v>0</v>
      </c>
    </row>
    <row r="18" spans="1:8" ht="13.8" x14ac:dyDescent="0.25">
      <c r="A18" s="11" t="s">
        <v>8</v>
      </c>
      <c r="B18" s="31">
        <v>1</v>
      </c>
      <c r="C18" s="32">
        <v>0</v>
      </c>
      <c r="D18" s="31">
        <v>0</v>
      </c>
      <c r="E18" s="32">
        <v>0</v>
      </c>
      <c r="F18" s="31">
        <v>0</v>
      </c>
      <c r="G18" s="33">
        <v>0</v>
      </c>
      <c r="H18" s="35">
        <v>0</v>
      </c>
    </row>
    <row r="19" spans="1:8" ht="13.8" x14ac:dyDescent="0.25">
      <c r="A19" s="11" t="s">
        <v>9</v>
      </c>
      <c r="B19" s="31">
        <f>9+1</f>
        <v>10</v>
      </c>
      <c r="C19" s="32">
        <v>0</v>
      </c>
      <c r="D19" s="31">
        <v>0</v>
      </c>
      <c r="E19" s="32">
        <v>0</v>
      </c>
      <c r="F19" s="31">
        <v>0</v>
      </c>
      <c r="G19" s="33">
        <v>0</v>
      </c>
      <c r="H19" s="35">
        <v>0</v>
      </c>
    </row>
    <row r="20" spans="1:8" ht="13.8" x14ac:dyDescent="0.25">
      <c r="A20" s="11" t="s">
        <v>10</v>
      </c>
      <c r="B20" s="31">
        <f>4+1+1</f>
        <v>6</v>
      </c>
      <c r="C20" s="32">
        <v>0</v>
      </c>
      <c r="D20" s="31">
        <v>0</v>
      </c>
      <c r="E20" s="32">
        <v>0</v>
      </c>
      <c r="F20" s="31">
        <v>0</v>
      </c>
      <c r="G20" s="33">
        <v>0</v>
      </c>
      <c r="H20" s="35">
        <v>0</v>
      </c>
    </row>
    <row r="21" spans="1:8" ht="13.8" x14ac:dyDescent="0.25">
      <c r="A21" s="11" t="s">
        <v>11</v>
      </c>
      <c r="B21" s="31">
        <f>1+1+2</f>
        <v>4</v>
      </c>
      <c r="C21" s="32">
        <v>0</v>
      </c>
      <c r="D21" s="31">
        <v>0</v>
      </c>
      <c r="E21" s="32">
        <v>0</v>
      </c>
      <c r="F21" s="31">
        <v>0</v>
      </c>
      <c r="G21" s="33">
        <v>0</v>
      </c>
      <c r="H21" s="35">
        <v>0</v>
      </c>
    </row>
    <row r="22" spans="1:8" ht="13.8" x14ac:dyDescent="0.25">
      <c r="A22" s="11" t="s">
        <v>12</v>
      </c>
      <c r="B22" s="31">
        <f>70+124+88+82+86+66+24</f>
        <v>540</v>
      </c>
      <c r="C22" s="32">
        <v>0</v>
      </c>
      <c r="D22" s="31">
        <f>1+1+1</f>
        <v>3</v>
      </c>
      <c r="E22" s="32">
        <v>1</v>
      </c>
      <c r="F22" s="31">
        <v>1</v>
      </c>
      <c r="G22" s="33">
        <v>0</v>
      </c>
      <c r="H22" s="34">
        <v>2</v>
      </c>
    </row>
    <row r="23" spans="1:8" ht="13.8" x14ac:dyDescent="0.25">
      <c r="A23" s="12" t="s">
        <v>13</v>
      </c>
      <c r="B23" s="36">
        <v>2</v>
      </c>
      <c r="C23" s="37">
        <v>0</v>
      </c>
      <c r="D23" s="36">
        <v>0</v>
      </c>
      <c r="E23" s="37">
        <v>0</v>
      </c>
      <c r="F23" s="36">
        <v>0</v>
      </c>
      <c r="G23" s="38">
        <v>0</v>
      </c>
      <c r="H23" s="52">
        <v>0</v>
      </c>
    </row>
    <row r="24" spans="1:8" ht="27" customHeight="1" thickBot="1" x14ac:dyDescent="0.3">
      <c r="A24" s="40" t="s">
        <v>23</v>
      </c>
      <c r="B24" s="41">
        <f>42+27+17+25+32+5</f>
        <v>148</v>
      </c>
      <c r="C24" s="42">
        <v>0</v>
      </c>
      <c r="D24" s="41">
        <v>0</v>
      </c>
      <c r="E24" s="42">
        <v>0</v>
      </c>
      <c r="F24" s="41">
        <v>0</v>
      </c>
      <c r="G24" s="43">
        <v>0</v>
      </c>
      <c r="H24" s="53">
        <v>0</v>
      </c>
    </row>
    <row r="25" spans="1:8" ht="14.4" thickBot="1" x14ac:dyDescent="0.3">
      <c r="A25" s="13" t="s">
        <v>22</v>
      </c>
      <c r="B25" s="70">
        <f t="shared" ref="B25:H25" si="1">SUM(B14:B24)</f>
        <v>795</v>
      </c>
      <c r="C25" s="73">
        <f t="shared" si="1"/>
        <v>0</v>
      </c>
      <c r="D25" s="74">
        <f t="shared" si="1"/>
        <v>3</v>
      </c>
      <c r="E25" s="69">
        <f t="shared" si="1"/>
        <v>1</v>
      </c>
      <c r="F25" s="70">
        <f t="shared" si="1"/>
        <v>1</v>
      </c>
      <c r="G25" s="71">
        <f t="shared" si="1"/>
        <v>0</v>
      </c>
      <c r="H25" s="74">
        <f t="shared" si="1"/>
        <v>3</v>
      </c>
    </row>
    <row r="26" spans="1:8" ht="13.8" x14ac:dyDescent="0.25">
      <c r="A26" s="5"/>
      <c r="B26" s="2"/>
      <c r="C26" s="2"/>
      <c r="D26" s="2"/>
      <c r="E26" s="2"/>
      <c r="F26" s="29"/>
      <c r="G26" s="2"/>
      <c r="H26" s="2"/>
    </row>
    <row r="27" spans="1:8" ht="14.4" thickBot="1" x14ac:dyDescent="0.3">
      <c r="A27" s="6" t="s">
        <v>63</v>
      </c>
      <c r="B27" s="2"/>
      <c r="C27" s="2"/>
      <c r="D27" s="2"/>
      <c r="E27" s="2"/>
      <c r="F27" s="49"/>
      <c r="G27" s="2"/>
      <c r="H27" s="2"/>
    </row>
    <row r="28" spans="1:8" ht="13.8" x14ac:dyDescent="0.25">
      <c r="A28" s="7" t="s">
        <v>15</v>
      </c>
      <c r="B28" s="26">
        <f>244+382+447+303+349+126+151</f>
        <v>2002</v>
      </c>
      <c r="C28" s="27">
        <v>2</v>
      </c>
      <c r="D28" s="26">
        <f>1+1</f>
        <v>2</v>
      </c>
      <c r="E28" s="27">
        <v>0</v>
      </c>
      <c r="F28" s="26">
        <v>0</v>
      </c>
      <c r="G28" s="50">
        <v>1</v>
      </c>
      <c r="H28" s="51">
        <v>4</v>
      </c>
    </row>
    <row r="29" spans="1:8" ht="13.8" x14ac:dyDescent="0.25">
      <c r="A29" s="11" t="s">
        <v>16</v>
      </c>
      <c r="B29" s="31">
        <f>149+112+183+110+137+89+55</f>
        <v>835</v>
      </c>
      <c r="C29" s="32">
        <f>1+1</f>
        <v>2</v>
      </c>
      <c r="D29" s="31">
        <v>0</v>
      </c>
      <c r="E29" s="32">
        <v>1</v>
      </c>
      <c r="F29" s="31">
        <v>1</v>
      </c>
      <c r="G29" s="33">
        <v>1</v>
      </c>
      <c r="H29" s="35">
        <v>5</v>
      </c>
    </row>
    <row r="30" spans="1:8" ht="13.8" x14ac:dyDescent="0.25">
      <c r="A30" s="11" t="s">
        <v>34</v>
      </c>
      <c r="B30" s="31">
        <f>150+59+107+88+171+30+83</f>
        <v>688</v>
      </c>
      <c r="C30" s="32">
        <v>0</v>
      </c>
      <c r="D30" s="31">
        <f>1+5</f>
        <v>6</v>
      </c>
      <c r="E30" s="32">
        <v>1</v>
      </c>
      <c r="F30" s="31">
        <v>0</v>
      </c>
      <c r="G30" s="33">
        <v>0</v>
      </c>
      <c r="H30" s="35">
        <v>2</v>
      </c>
    </row>
    <row r="31" spans="1:8" ht="13.8" x14ac:dyDescent="0.25">
      <c r="A31" s="11" t="s">
        <v>17</v>
      </c>
      <c r="B31" s="31">
        <f>837+558+755+539+695+428+321</f>
        <v>4133</v>
      </c>
      <c r="C31" s="32">
        <v>1</v>
      </c>
      <c r="D31" s="31">
        <v>1</v>
      </c>
      <c r="E31" s="32">
        <v>1</v>
      </c>
      <c r="F31" s="31">
        <f>4+1</f>
        <v>5</v>
      </c>
      <c r="G31" s="33">
        <v>0</v>
      </c>
      <c r="H31" s="35">
        <f>5+2+2</f>
        <v>9</v>
      </c>
    </row>
    <row r="32" spans="1:8" ht="13.8" x14ac:dyDescent="0.25">
      <c r="A32" s="11" t="s">
        <v>18</v>
      </c>
      <c r="B32" s="31">
        <f>244+152+264+252+352+73+148</f>
        <v>1485</v>
      </c>
      <c r="C32" s="32">
        <f>2+2</f>
        <v>4</v>
      </c>
      <c r="D32" s="31">
        <v>2</v>
      </c>
      <c r="E32" s="32">
        <v>0</v>
      </c>
      <c r="F32" s="31">
        <f>2+1</f>
        <v>3</v>
      </c>
      <c r="G32" s="33">
        <v>0</v>
      </c>
      <c r="H32" s="35">
        <v>3</v>
      </c>
    </row>
    <row r="33" spans="1:8" ht="13.8" x14ac:dyDescent="0.25">
      <c r="A33" s="11" t="s">
        <v>19</v>
      </c>
      <c r="B33" s="31">
        <f>1137+771+1243+836+889+746+400</f>
        <v>6022</v>
      </c>
      <c r="C33" s="32">
        <v>9</v>
      </c>
      <c r="D33" s="31">
        <v>20</v>
      </c>
      <c r="E33" s="32">
        <v>3</v>
      </c>
      <c r="F33" s="31">
        <f>6+2</f>
        <v>8</v>
      </c>
      <c r="G33" s="33">
        <v>2</v>
      </c>
      <c r="H33" s="35">
        <f>26+3+14+4</f>
        <v>47</v>
      </c>
    </row>
    <row r="34" spans="1:8" ht="13.8" x14ac:dyDescent="0.25">
      <c r="A34" s="11" t="s">
        <v>20</v>
      </c>
      <c r="B34" s="31">
        <f>693+563+1104+462+581+633+262</f>
        <v>4298</v>
      </c>
      <c r="C34" s="32">
        <v>3</v>
      </c>
      <c r="D34" s="31">
        <v>7</v>
      </c>
      <c r="E34" s="32">
        <v>2</v>
      </c>
      <c r="F34" s="31">
        <f>3+1</f>
        <v>4</v>
      </c>
      <c r="G34" s="33">
        <v>1</v>
      </c>
      <c r="H34" s="35">
        <f>6+1+3</f>
        <v>10</v>
      </c>
    </row>
    <row r="35" spans="1:8" ht="13.8" x14ac:dyDescent="0.25">
      <c r="A35" s="11" t="s">
        <v>25</v>
      </c>
      <c r="B35" s="31">
        <f>16+1+11+3+4</f>
        <v>35</v>
      </c>
      <c r="C35" s="32">
        <v>0</v>
      </c>
      <c r="D35" s="31">
        <v>1</v>
      </c>
      <c r="E35" s="32">
        <v>0</v>
      </c>
      <c r="F35" s="31">
        <v>0</v>
      </c>
      <c r="G35" s="33">
        <v>0</v>
      </c>
      <c r="H35" s="35">
        <v>0</v>
      </c>
    </row>
    <row r="36" spans="1:8" ht="14.4" thickBot="1" x14ac:dyDescent="0.3">
      <c r="A36" s="12" t="s">
        <v>26</v>
      </c>
      <c r="B36" s="60">
        <f>8665+5769+7605+6109+8742+4257+3147</f>
        <v>44294</v>
      </c>
      <c r="C36" s="37">
        <f>20+5+15+16+5</f>
        <v>61</v>
      </c>
      <c r="D36" s="36">
        <f>18+7+13+9+23+9</f>
        <v>79</v>
      </c>
      <c r="E36" s="37">
        <f>3+2+16+2</f>
        <v>23</v>
      </c>
      <c r="F36" s="36">
        <f>22+1+11+8+3</f>
        <v>45</v>
      </c>
      <c r="G36" s="38">
        <v>8</v>
      </c>
      <c r="H36" s="52">
        <f>40+34+41+9+57+12</f>
        <v>193</v>
      </c>
    </row>
    <row r="37" spans="1:8" ht="14.4" thickBot="1" x14ac:dyDescent="0.3">
      <c r="A37" s="13" t="s">
        <v>21</v>
      </c>
      <c r="B37" s="76">
        <f t="shared" ref="B37:H37" si="2">SUM(B28:B36)</f>
        <v>63792</v>
      </c>
      <c r="C37" s="69">
        <f t="shared" si="2"/>
        <v>82</v>
      </c>
      <c r="D37" s="70">
        <f t="shared" si="2"/>
        <v>118</v>
      </c>
      <c r="E37" s="69">
        <f t="shared" si="2"/>
        <v>31</v>
      </c>
      <c r="F37" s="70">
        <f t="shared" si="2"/>
        <v>66</v>
      </c>
      <c r="G37" s="71">
        <f t="shared" si="2"/>
        <v>13</v>
      </c>
      <c r="H37" s="77">
        <f t="shared" si="2"/>
        <v>273</v>
      </c>
    </row>
    <row r="38" spans="1:8" ht="13.8" x14ac:dyDescent="0.25">
      <c r="A38" s="14"/>
      <c r="B38" s="29"/>
      <c r="C38" s="29"/>
      <c r="D38" s="29"/>
      <c r="E38" s="29"/>
      <c r="F38" s="29"/>
      <c r="G38" s="29"/>
      <c r="H38" s="29"/>
    </row>
    <row r="39" spans="1:8" ht="14.4" thickBot="1" x14ac:dyDescent="0.3">
      <c r="A39" s="15" t="s">
        <v>28</v>
      </c>
      <c r="B39" s="49"/>
      <c r="C39" s="49"/>
      <c r="D39" s="49"/>
      <c r="E39" s="49"/>
      <c r="F39" s="49"/>
      <c r="G39" s="49"/>
      <c r="H39" s="49"/>
    </row>
    <row r="40" spans="1:8" ht="13.8" x14ac:dyDescent="0.25">
      <c r="A40" s="7" t="s">
        <v>64</v>
      </c>
      <c r="B40" s="26">
        <f>16+8+15+16+11+17+16</f>
        <v>99</v>
      </c>
      <c r="C40" s="27">
        <v>0</v>
      </c>
      <c r="D40" s="26">
        <v>0</v>
      </c>
      <c r="E40" s="27">
        <v>0</v>
      </c>
      <c r="F40" s="26">
        <v>0</v>
      </c>
      <c r="G40" s="50">
        <v>0</v>
      </c>
      <c r="H40" s="51">
        <v>0</v>
      </c>
    </row>
    <row r="41" spans="1:8" ht="14.4" thickBot="1" x14ac:dyDescent="0.3">
      <c r="A41" s="12" t="s">
        <v>27</v>
      </c>
      <c r="B41" s="60">
        <f>11197+3978+5189+8052+6795+5798+4998</f>
        <v>46007</v>
      </c>
      <c r="C41" s="37">
        <v>14</v>
      </c>
      <c r="D41" s="36">
        <f>7+3+1</f>
        <v>11</v>
      </c>
      <c r="E41" s="37">
        <v>1</v>
      </c>
      <c r="F41" s="36">
        <f>1+1</f>
        <v>2</v>
      </c>
      <c r="G41" s="38">
        <v>3</v>
      </c>
      <c r="H41" s="52">
        <v>11</v>
      </c>
    </row>
    <row r="42" spans="1:8" ht="14.4" thickBot="1" x14ac:dyDescent="0.3">
      <c r="A42" s="13" t="s">
        <v>21</v>
      </c>
      <c r="B42" s="76">
        <f t="shared" ref="B42:H42" si="3">SUM(B40:B41)</f>
        <v>46106</v>
      </c>
      <c r="C42" s="69">
        <f t="shared" si="3"/>
        <v>14</v>
      </c>
      <c r="D42" s="70">
        <f t="shared" si="3"/>
        <v>11</v>
      </c>
      <c r="E42" s="69">
        <f t="shared" si="3"/>
        <v>1</v>
      </c>
      <c r="F42" s="70">
        <f t="shared" si="3"/>
        <v>2</v>
      </c>
      <c r="G42" s="71">
        <f t="shared" si="3"/>
        <v>3</v>
      </c>
      <c r="H42" s="74">
        <f t="shared" si="3"/>
        <v>11</v>
      </c>
    </row>
  </sheetData>
  <mergeCells count="8">
    <mergeCell ref="A1:F1"/>
    <mergeCell ref="G1:H1"/>
    <mergeCell ref="A3:A4"/>
    <mergeCell ref="B3:B4"/>
    <mergeCell ref="C3:C4"/>
    <mergeCell ref="D3:D4"/>
    <mergeCell ref="E3:E4"/>
    <mergeCell ref="G3:H3"/>
  </mergeCells>
  <pageMargins left="0.39370078740157483" right="0.39370078740157483" top="0.19685039370078741" bottom="0.19685039370078741" header="0.51181102362204722" footer="0.51181102362204722"/>
  <pageSetup paperSize="9" scale="77" orientation="landscape" horizontalDpi="4294967294" verticalDpi="4294967294" r:id="rId1"/>
  <headerFooter alignWithMargins="0">
    <oddFooter>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H42"/>
  <sheetViews>
    <sheetView zoomScaleNormal="100" workbookViewId="0">
      <selection activeCell="D36" sqref="D36"/>
    </sheetView>
  </sheetViews>
  <sheetFormatPr baseColWidth="10" defaultRowHeight="13.2" x14ac:dyDescent="0.25"/>
  <cols>
    <col min="1" max="1" width="26" bestFit="1" customWidth="1"/>
    <col min="2" max="2" width="17" customWidth="1"/>
    <col min="3" max="3" width="23.21875" customWidth="1"/>
    <col min="4" max="4" width="21.44140625" customWidth="1"/>
    <col min="5" max="5" width="16.44140625" customWidth="1"/>
    <col min="6" max="6" width="18.5546875" customWidth="1"/>
    <col min="7" max="7" width="18.44140625" customWidth="1"/>
    <col min="8" max="8" width="20.44140625" customWidth="1"/>
  </cols>
  <sheetData>
    <row r="1" spans="1:8" s="1" customFormat="1" ht="35.1" customHeight="1" x14ac:dyDescent="0.3">
      <c r="A1" s="497" t="s">
        <v>66</v>
      </c>
      <c r="B1" s="497"/>
      <c r="C1" s="497"/>
      <c r="D1" s="497"/>
      <c r="E1" s="497"/>
      <c r="F1" s="497"/>
      <c r="G1" s="497"/>
      <c r="H1" s="64" t="s">
        <v>67</v>
      </c>
    </row>
    <row r="2" spans="1:8" ht="2.5499999999999998" customHeight="1" thickBot="1" x14ac:dyDescent="0.3"/>
    <row r="3" spans="1:8" ht="57" customHeight="1" x14ac:dyDescent="0.25">
      <c r="A3" s="498" t="s">
        <v>24</v>
      </c>
      <c r="B3" s="500" t="s">
        <v>0</v>
      </c>
      <c r="C3" s="498" t="s">
        <v>55</v>
      </c>
      <c r="D3" s="502" t="s">
        <v>56</v>
      </c>
      <c r="E3" s="504" t="s">
        <v>57</v>
      </c>
      <c r="F3" s="22" t="s">
        <v>45</v>
      </c>
      <c r="G3" s="506" t="s">
        <v>58</v>
      </c>
      <c r="H3" s="507"/>
    </row>
    <row r="4" spans="1:8" ht="16.2" thickBot="1" x14ac:dyDescent="0.35">
      <c r="A4" s="499"/>
      <c r="B4" s="501"/>
      <c r="C4" s="499"/>
      <c r="D4" s="503"/>
      <c r="E4" s="505"/>
      <c r="F4" s="23"/>
      <c r="G4" s="24" t="s">
        <v>59</v>
      </c>
      <c r="H4" s="25" t="s">
        <v>60</v>
      </c>
    </row>
    <row r="5" spans="1:8" ht="14.4" thickBot="1" x14ac:dyDescent="0.3">
      <c r="A5" s="3" t="s">
        <v>61</v>
      </c>
      <c r="F5" s="20"/>
    </row>
    <row r="6" spans="1:8" ht="13.8" x14ac:dyDescent="0.25">
      <c r="A6" s="7" t="s">
        <v>1</v>
      </c>
      <c r="B6" s="65">
        <v>73</v>
      </c>
      <c r="C6" s="27">
        <v>0</v>
      </c>
      <c r="D6" s="26">
        <v>1</v>
      </c>
      <c r="E6" s="27">
        <v>0</v>
      </c>
      <c r="F6" s="28">
        <v>0</v>
      </c>
      <c r="G6" s="29">
        <v>0</v>
      </c>
      <c r="H6" s="30">
        <v>4</v>
      </c>
    </row>
    <row r="7" spans="1:8" ht="13.8" x14ac:dyDescent="0.25">
      <c r="A7" s="8" t="s">
        <v>2</v>
      </c>
      <c r="B7" s="66">
        <v>666</v>
      </c>
      <c r="C7" s="32">
        <v>4</v>
      </c>
      <c r="D7" s="31">
        <v>6</v>
      </c>
      <c r="E7" s="32">
        <v>1</v>
      </c>
      <c r="F7" s="31">
        <v>1</v>
      </c>
      <c r="G7" s="33">
        <v>0</v>
      </c>
      <c r="H7" s="34">
        <v>21</v>
      </c>
    </row>
    <row r="8" spans="1:8" ht="13.8" x14ac:dyDescent="0.25">
      <c r="A8" s="8" t="s">
        <v>14</v>
      </c>
      <c r="B8" s="66">
        <v>81</v>
      </c>
      <c r="C8" s="32">
        <v>0</v>
      </c>
      <c r="D8" s="31">
        <v>0</v>
      </c>
      <c r="E8" s="32">
        <v>0</v>
      </c>
      <c r="F8" s="31">
        <v>0</v>
      </c>
      <c r="G8" s="33">
        <v>0</v>
      </c>
      <c r="H8" s="35">
        <v>1</v>
      </c>
    </row>
    <row r="9" spans="1:8" ht="13.8" x14ac:dyDescent="0.25">
      <c r="A9" s="9" t="s">
        <v>3</v>
      </c>
      <c r="B9" s="66">
        <v>116</v>
      </c>
      <c r="C9" s="37">
        <v>1</v>
      </c>
      <c r="D9" s="36">
        <v>0</v>
      </c>
      <c r="E9" s="37">
        <v>0</v>
      </c>
      <c r="F9" s="36">
        <v>0</v>
      </c>
      <c r="G9" s="38">
        <v>0</v>
      </c>
      <c r="H9" s="39">
        <v>2</v>
      </c>
    </row>
    <row r="10" spans="1:8" ht="29.55" customHeight="1" thickBot="1" x14ac:dyDescent="0.3">
      <c r="A10" s="40" t="s">
        <v>23</v>
      </c>
      <c r="B10" s="67">
        <v>772</v>
      </c>
      <c r="C10" s="42">
        <v>3</v>
      </c>
      <c r="D10" s="41">
        <v>3</v>
      </c>
      <c r="E10" s="42">
        <v>0</v>
      </c>
      <c r="F10" s="41">
        <v>0</v>
      </c>
      <c r="G10" s="43">
        <v>1</v>
      </c>
      <c r="H10" s="44">
        <v>18</v>
      </c>
    </row>
    <row r="11" spans="1:8" ht="14.4" thickBot="1" x14ac:dyDescent="0.3">
      <c r="A11" s="10" t="s">
        <v>21</v>
      </c>
      <c r="B11" s="68">
        <v>1708</v>
      </c>
      <c r="C11" s="69">
        <v>8</v>
      </c>
      <c r="D11" s="70">
        <v>10</v>
      </c>
      <c r="E11" s="69">
        <v>1</v>
      </c>
      <c r="F11" s="70">
        <v>1</v>
      </c>
      <c r="G11" s="71">
        <v>1</v>
      </c>
      <c r="H11" s="72">
        <v>46</v>
      </c>
    </row>
    <row r="12" spans="1:8" ht="13.8" x14ac:dyDescent="0.25">
      <c r="A12" s="4"/>
      <c r="B12" s="2"/>
      <c r="C12" s="2"/>
      <c r="D12" s="2"/>
      <c r="E12" s="2"/>
      <c r="F12" s="29"/>
      <c r="G12" s="2"/>
      <c r="H12" s="48"/>
    </row>
    <row r="13" spans="1:8" ht="14.4" thickBot="1" x14ac:dyDescent="0.3">
      <c r="A13" s="3" t="s">
        <v>62</v>
      </c>
      <c r="F13" s="49"/>
    </row>
    <row r="14" spans="1:8" ht="13.8" x14ac:dyDescent="0.25">
      <c r="A14" s="7" t="s">
        <v>4</v>
      </c>
      <c r="B14" s="26">
        <v>30</v>
      </c>
      <c r="C14" s="27">
        <v>0</v>
      </c>
      <c r="D14" s="26">
        <v>0</v>
      </c>
      <c r="E14" s="27">
        <v>0</v>
      </c>
      <c r="F14" s="26">
        <v>0</v>
      </c>
      <c r="G14" s="50">
        <v>0</v>
      </c>
      <c r="H14" s="51">
        <v>3</v>
      </c>
    </row>
    <row r="15" spans="1:8" ht="13.8" x14ac:dyDescent="0.25">
      <c r="A15" s="11" t="s">
        <v>5</v>
      </c>
      <c r="B15" s="31">
        <v>176</v>
      </c>
      <c r="C15" s="32">
        <v>0</v>
      </c>
      <c r="D15" s="31">
        <v>4</v>
      </c>
      <c r="E15" s="32">
        <v>0</v>
      </c>
      <c r="F15" s="31">
        <v>1</v>
      </c>
      <c r="G15" s="33">
        <v>0</v>
      </c>
      <c r="H15" s="34">
        <v>6</v>
      </c>
    </row>
    <row r="16" spans="1:8" ht="13.8" x14ac:dyDescent="0.25">
      <c r="A16" s="11" t="s">
        <v>6</v>
      </c>
      <c r="B16" s="31">
        <v>49</v>
      </c>
      <c r="C16" s="32">
        <v>0</v>
      </c>
      <c r="D16" s="31">
        <v>1</v>
      </c>
      <c r="E16" s="32">
        <v>0</v>
      </c>
      <c r="F16" s="31">
        <v>0</v>
      </c>
      <c r="G16" s="33">
        <v>0</v>
      </c>
      <c r="H16" s="35">
        <v>1</v>
      </c>
    </row>
    <row r="17" spans="1:8" ht="13.8" x14ac:dyDescent="0.25">
      <c r="A17" s="11" t="s">
        <v>7</v>
      </c>
      <c r="B17" s="31">
        <v>37</v>
      </c>
      <c r="C17" s="32">
        <v>0</v>
      </c>
      <c r="D17" s="31">
        <v>0</v>
      </c>
      <c r="E17" s="32">
        <v>0</v>
      </c>
      <c r="F17" s="31">
        <v>0</v>
      </c>
      <c r="G17" s="33">
        <v>0</v>
      </c>
      <c r="H17" s="35">
        <v>2</v>
      </c>
    </row>
    <row r="18" spans="1:8" ht="13.8" x14ac:dyDescent="0.25">
      <c r="A18" s="11" t="s">
        <v>8</v>
      </c>
      <c r="B18" s="31">
        <v>5</v>
      </c>
      <c r="C18" s="32">
        <v>0</v>
      </c>
      <c r="D18" s="31">
        <v>0</v>
      </c>
      <c r="E18" s="32">
        <v>0</v>
      </c>
      <c r="F18" s="31">
        <v>0</v>
      </c>
      <c r="G18" s="33">
        <v>0</v>
      </c>
      <c r="H18" s="35">
        <v>0</v>
      </c>
    </row>
    <row r="19" spans="1:8" ht="13.8" x14ac:dyDescent="0.25">
      <c r="A19" s="11" t="s">
        <v>9</v>
      </c>
      <c r="B19" s="31">
        <v>14</v>
      </c>
      <c r="C19" s="32">
        <v>1</v>
      </c>
      <c r="D19" s="31">
        <v>0</v>
      </c>
      <c r="E19" s="32">
        <v>0</v>
      </c>
      <c r="F19" s="31">
        <v>0</v>
      </c>
      <c r="G19" s="33">
        <v>0</v>
      </c>
      <c r="H19" s="35">
        <v>0</v>
      </c>
    </row>
    <row r="20" spans="1:8" ht="13.8" x14ac:dyDescent="0.25">
      <c r="A20" s="11" t="s">
        <v>10</v>
      </c>
      <c r="B20" s="31">
        <v>11</v>
      </c>
      <c r="C20" s="32">
        <v>0</v>
      </c>
      <c r="D20" s="31">
        <v>0</v>
      </c>
      <c r="E20" s="32">
        <v>0</v>
      </c>
      <c r="F20" s="31">
        <v>0</v>
      </c>
      <c r="G20" s="33">
        <v>0</v>
      </c>
      <c r="H20" s="35">
        <v>1</v>
      </c>
    </row>
    <row r="21" spans="1:8" ht="13.8" x14ac:dyDescent="0.25">
      <c r="A21" s="11" t="s">
        <v>11</v>
      </c>
      <c r="B21" s="31">
        <v>63</v>
      </c>
      <c r="C21" s="32">
        <v>2</v>
      </c>
      <c r="D21" s="31">
        <v>3</v>
      </c>
      <c r="E21" s="32">
        <v>0</v>
      </c>
      <c r="F21" s="31">
        <v>0</v>
      </c>
      <c r="G21" s="33">
        <v>0</v>
      </c>
      <c r="H21" s="35">
        <v>16</v>
      </c>
    </row>
    <row r="22" spans="1:8" ht="13.8" x14ac:dyDescent="0.25">
      <c r="A22" s="11" t="s">
        <v>12</v>
      </c>
      <c r="B22" s="31">
        <v>1488</v>
      </c>
      <c r="C22" s="32">
        <v>4</v>
      </c>
      <c r="D22" s="31">
        <v>5</v>
      </c>
      <c r="E22" s="32">
        <v>2</v>
      </c>
      <c r="F22" s="31">
        <v>1</v>
      </c>
      <c r="G22" s="33">
        <v>0</v>
      </c>
      <c r="H22" s="34">
        <v>48</v>
      </c>
    </row>
    <row r="23" spans="1:8" ht="13.8" x14ac:dyDescent="0.25">
      <c r="A23" s="12" t="s">
        <v>13</v>
      </c>
      <c r="B23" s="36">
        <v>17</v>
      </c>
      <c r="C23" s="37">
        <v>0</v>
      </c>
      <c r="D23" s="36">
        <v>0</v>
      </c>
      <c r="E23" s="37">
        <v>0</v>
      </c>
      <c r="F23" s="36">
        <v>0</v>
      </c>
      <c r="G23" s="38">
        <v>0</v>
      </c>
      <c r="H23" s="52">
        <v>0</v>
      </c>
    </row>
    <row r="24" spans="1:8" ht="27" customHeight="1" thickBot="1" x14ac:dyDescent="0.3">
      <c r="A24" s="40" t="s">
        <v>23</v>
      </c>
      <c r="B24" s="41">
        <v>496</v>
      </c>
      <c r="C24" s="42">
        <v>1</v>
      </c>
      <c r="D24" s="41">
        <v>0</v>
      </c>
      <c r="E24" s="42">
        <v>1</v>
      </c>
      <c r="F24" s="41">
        <v>0</v>
      </c>
      <c r="G24" s="43">
        <v>0</v>
      </c>
      <c r="H24" s="53">
        <v>2</v>
      </c>
    </row>
    <row r="25" spans="1:8" ht="14.4" thickBot="1" x14ac:dyDescent="0.3">
      <c r="A25" s="13" t="s">
        <v>22</v>
      </c>
      <c r="B25" s="70">
        <v>2386</v>
      </c>
      <c r="C25" s="73">
        <v>8</v>
      </c>
      <c r="D25" s="74">
        <f>SUM(D14:D24)</f>
        <v>13</v>
      </c>
      <c r="E25" s="69">
        <v>3</v>
      </c>
      <c r="F25" s="70">
        <v>2</v>
      </c>
      <c r="G25" s="71">
        <v>0</v>
      </c>
      <c r="H25" s="74">
        <v>79</v>
      </c>
    </row>
    <row r="26" spans="1:8" ht="13.8" x14ac:dyDescent="0.25">
      <c r="A26" s="5"/>
      <c r="B26" s="2"/>
      <c r="C26" s="2"/>
      <c r="D26" s="2"/>
      <c r="E26" s="2"/>
      <c r="F26" s="29"/>
      <c r="G26" s="2"/>
      <c r="H26" s="2"/>
    </row>
    <row r="27" spans="1:8" ht="14.4" thickBot="1" x14ac:dyDescent="0.3">
      <c r="A27" s="6" t="s">
        <v>63</v>
      </c>
      <c r="B27" s="2"/>
      <c r="C27" s="2"/>
      <c r="D27" s="2"/>
      <c r="E27" s="2"/>
      <c r="F27" s="49"/>
      <c r="G27" s="2"/>
      <c r="H27" s="2"/>
    </row>
    <row r="28" spans="1:8" ht="13.8" x14ac:dyDescent="0.25">
      <c r="A28" s="7" t="s">
        <v>15</v>
      </c>
      <c r="B28" s="26">
        <v>2865</v>
      </c>
      <c r="C28" s="27">
        <v>3</v>
      </c>
      <c r="D28" s="26">
        <v>5</v>
      </c>
      <c r="E28" s="27">
        <v>1</v>
      </c>
      <c r="F28" s="26">
        <v>1</v>
      </c>
      <c r="G28" s="50">
        <v>0</v>
      </c>
      <c r="H28" s="51">
        <v>22</v>
      </c>
    </row>
    <row r="29" spans="1:8" ht="13.8" x14ac:dyDescent="0.25">
      <c r="A29" s="11" t="s">
        <v>16</v>
      </c>
      <c r="B29" s="31">
        <v>1449</v>
      </c>
      <c r="C29" s="32">
        <v>6</v>
      </c>
      <c r="D29" s="31">
        <v>13</v>
      </c>
      <c r="E29" s="32">
        <v>3</v>
      </c>
      <c r="F29" s="31">
        <v>3</v>
      </c>
      <c r="G29" s="33">
        <v>2</v>
      </c>
      <c r="H29" s="35">
        <v>28</v>
      </c>
    </row>
    <row r="30" spans="1:8" ht="13.8" x14ac:dyDescent="0.25">
      <c r="A30" s="11" t="s">
        <v>34</v>
      </c>
      <c r="B30" s="31">
        <v>815</v>
      </c>
      <c r="C30" s="32">
        <v>1</v>
      </c>
      <c r="D30" s="31">
        <v>8</v>
      </c>
      <c r="E30" s="32">
        <v>0</v>
      </c>
      <c r="F30" s="31">
        <v>0</v>
      </c>
      <c r="G30" s="33">
        <v>0</v>
      </c>
      <c r="H30" s="35">
        <v>6</v>
      </c>
    </row>
    <row r="31" spans="1:8" ht="13.8" x14ac:dyDescent="0.25">
      <c r="A31" s="11" t="s">
        <v>17</v>
      </c>
      <c r="B31" s="31">
        <v>7264</v>
      </c>
      <c r="C31" s="32">
        <v>2</v>
      </c>
      <c r="D31" s="31">
        <v>5</v>
      </c>
      <c r="E31" s="32">
        <v>0</v>
      </c>
      <c r="F31" s="31">
        <v>1</v>
      </c>
      <c r="G31" s="33">
        <v>0</v>
      </c>
      <c r="H31" s="35">
        <v>68</v>
      </c>
    </row>
    <row r="32" spans="1:8" ht="13.8" x14ac:dyDescent="0.25">
      <c r="A32" s="11" t="s">
        <v>18</v>
      </c>
      <c r="B32" s="31">
        <v>1413</v>
      </c>
      <c r="C32" s="32">
        <v>3</v>
      </c>
      <c r="D32" s="31">
        <v>2</v>
      </c>
      <c r="E32" s="32">
        <v>1</v>
      </c>
      <c r="F32" s="31">
        <v>1</v>
      </c>
      <c r="G32" s="33">
        <v>1</v>
      </c>
      <c r="H32" s="35">
        <v>18</v>
      </c>
    </row>
    <row r="33" spans="1:8" ht="13.8" x14ac:dyDescent="0.25">
      <c r="A33" s="11" t="s">
        <v>19</v>
      </c>
      <c r="B33" s="31">
        <v>10696</v>
      </c>
      <c r="C33" s="32">
        <v>33</v>
      </c>
      <c r="D33" s="31">
        <v>55</v>
      </c>
      <c r="E33" s="32">
        <v>17</v>
      </c>
      <c r="F33" s="31">
        <v>12</v>
      </c>
      <c r="G33" s="33">
        <v>4</v>
      </c>
      <c r="H33" s="35">
        <v>152</v>
      </c>
    </row>
    <row r="34" spans="1:8" ht="13.8" x14ac:dyDescent="0.25">
      <c r="A34" s="11" t="s">
        <v>20</v>
      </c>
      <c r="B34" s="31">
        <v>6884</v>
      </c>
      <c r="C34" s="32">
        <v>23</v>
      </c>
      <c r="D34" s="31">
        <v>21</v>
      </c>
      <c r="E34" s="32">
        <v>6</v>
      </c>
      <c r="F34" s="31">
        <v>11</v>
      </c>
      <c r="G34" s="33">
        <v>1</v>
      </c>
      <c r="H34" s="35">
        <v>104</v>
      </c>
    </row>
    <row r="35" spans="1:8" ht="13.8" x14ac:dyDescent="0.25">
      <c r="A35" s="11" t="s">
        <v>25</v>
      </c>
      <c r="B35" s="31">
        <v>50</v>
      </c>
      <c r="C35" s="32">
        <v>1</v>
      </c>
      <c r="D35" s="31">
        <v>4</v>
      </c>
      <c r="E35" s="32">
        <v>1</v>
      </c>
      <c r="F35" s="31">
        <v>0</v>
      </c>
      <c r="G35" s="33">
        <v>1</v>
      </c>
      <c r="H35" s="35">
        <v>6</v>
      </c>
    </row>
    <row r="36" spans="1:8" ht="14.4" thickBot="1" x14ac:dyDescent="0.3">
      <c r="A36" s="12" t="s">
        <v>26</v>
      </c>
      <c r="B36" s="36">
        <v>80184</v>
      </c>
      <c r="C36" s="37">
        <v>155</v>
      </c>
      <c r="D36" s="36">
        <v>234</v>
      </c>
      <c r="E36" s="37">
        <v>62</v>
      </c>
      <c r="F36" s="36">
        <v>57</v>
      </c>
      <c r="G36" s="38">
        <v>13</v>
      </c>
      <c r="H36" s="52">
        <v>959</v>
      </c>
    </row>
    <row r="37" spans="1:8" ht="14.4" thickBot="1" x14ac:dyDescent="0.3">
      <c r="A37" s="13" t="s">
        <v>21</v>
      </c>
      <c r="B37" s="70">
        <v>111620</v>
      </c>
      <c r="C37" s="69">
        <v>227</v>
      </c>
      <c r="D37" s="70">
        <v>347</v>
      </c>
      <c r="E37" s="69">
        <v>91</v>
      </c>
      <c r="F37" s="70">
        <v>86</v>
      </c>
      <c r="G37" s="71">
        <v>22</v>
      </c>
      <c r="H37" s="74">
        <v>1363</v>
      </c>
    </row>
    <row r="38" spans="1:8" ht="13.8" x14ac:dyDescent="0.25">
      <c r="A38" s="14"/>
      <c r="B38" s="29"/>
      <c r="C38" s="29"/>
      <c r="D38" s="29"/>
      <c r="E38" s="29"/>
      <c r="F38" s="29"/>
      <c r="G38" s="29"/>
      <c r="H38" s="29"/>
    </row>
    <row r="39" spans="1:8" ht="14.4" thickBot="1" x14ac:dyDescent="0.3">
      <c r="A39" s="15" t="s">
        <v>28</v>
      </c>
      <c r="B39" s="49"/>
      <c r="C39" s="49"/>
      <c r="D39" s="49"/>
      <c r="E39" s="49"/>
      <c r="F39" s="49"/>
      <c r="G39" s="49"/>
      <c r="H39" s="49"/>
    </row>
    <row r="40" spans="1:8" ht="13.8" x14ac:dyDescent="0.25">
      <c r="A40" s="7" t="s">
        <v>68</v>
      </c>
      <c r="B40" s="26">
        <v>132</v>
      </c>
      <c r="C40" s="27">
        <v>0</v>
      </c>
      <c r="D40" s="26">
        <v>1</v>
      </c>
      <c r="E40" s="27">
        <v>4</v>
      </c>
      <c r="F40" s="26">
        <v>0</v>
      </c>
      <c r="G40" s="50">
        <v>0</v>
      </c>
      <c r="H40" s="51">
        <v>0</v>
      </c>
    </row>
    <row r="41" spans="1:8" ht="14.4" thickBot="1" x14ac:dyDescent="0.3">
      <c r="A41" s="12" t="s">
        <v>27</v>
      </c>
      <c r="B41" s="36">
        <v>46991</v>
      </c>
      <c r="C41" s="37">
        <v>26</v>
      </c>
      <c r="D41" s="36">
        <v>17</v>
      </c>
      <c r="E41" s="37">
        <v>7</v>
      </c>
      <c r="F41" s="36">
        <v>3</v>
      </c>
      <c r="G41" s="38">
        <v>7</v>
      </c>
      <c r="H41" s="52">
        <v>126</v>
      </c>
    </row>
    <row r="42" spans="1:8" ht="14.4" thickBot="1" x14ac:dyDescent="0.3">
      <c r="A42" s="13" t="s">
        <v>21</v>
      </c>
      <c r="B42" s="70">
        <v>47123</v>
      </c>
      <c r="C42" s="69">
        <v>26</v>
      </c>
      <c r="D42" s="70">
        <v>18</v>
      </c>
      <c r="E42" s="69">
        <v>11</v>
      </c>
      <c r="F42" s="70">
        <v>3</v>
      </c>
      <c r="G42" s="71">
        <v>7</v>
      </c>
      <c r="H42" s="74">
        <v>126</v>
      </c>
    </row>
  </sheetData>
  <mergeCells count="7">
    <mergeCell ref="A1:G1"/>
    <mergeCell ref="A3:A4"/>
    <mergeCell ref="B3:B4"/>
    <mergeCell ref="C3:C4"/>
    <mergeCell ref="D3:D4"/>
    <mergeCell ref="E3:E4"/>
    <mergeCell ref="G3:H3"/>
  </mergeCells>
  <pageMargins left="0.39370078740157483" right="0.39370078740157483" top="0.19685039370078741" bottom="0.19685039370078741" header="0.51181102362204722" footer="0.51181102362204722"/>
  <pageSetup paperSize="9" scale="83" orientation="landscape" horizontalDpi="300" verticalDpi="300" r:id="rId1"/>
  <headerFooter alignWithMargins="0">
    <oddHeader>&amp;L&amp;F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>
    <pageSetUpPr fitToPage="1"/>
  </sheetPr>
  <dimension ref="A1:H42"/>
  <sheetViews>
    <sheetView topLeftCell="A10" zoomScaleNormal="100" workbookViewId="0">
      <selection activeCell="F39" sqref="F39"/>
    </sheetView>
  </sheetViews>
  <sheetFormatPr baseColWidth="10" defaultRowHeight="13.2" x14ac:dyDescent="0.25"/>
  <cols>
    <col min="1" max="1" width="26" bestFit="1" customWidth="1"/>
    <col min="2" max="2" width="17" customWidth="1"/>
    <col min="3" max="3" width="23.21875" customWidth="1"/>
    <col min="4" max="4" width="21.44140625" customWidth="1"/>
    <col min="5" max="5" width="16.44140625" customWidth="1"/>
    <col min="6" max="6" width="18.5546875" customWidth="1"/>
    <col min="7" max="7" width="18.44140625" customWidth="1"/>
    <col min="8" max="8" width="20.44140625" customWidth="1"/>
  </cols>
  <sheetData>
    <row r="1" spans="1:8" s="1" customFormat="1" ht="35.1" customHeight="1" x14ac:dyDescent="0.3">
      <c r="A1" s="497" t="s">
        <v>53</v>
      </c>
      <c r="B1" s="497"/>
      <c r="C1" s="497"/>
      <c r="D1" s="497"/>
      <c r="E1" s="497"/>
      <c r="F1" s="497"/>
      <c r="G1" s="497"/>
      <c r="H1" s="78" t="s">
        <v>72</v>
      </c>
    </row>
    <row r="2" spans="1:8" ht="2.5499999999999998" customHeight="1" thickBot="1" x14ac:dyDescent="0.3"/>
    <row r="3" spans="1:8" ht="57" customHeight="1" x14ac:dyDescent="0.25">
      <c r="A3" s="498" t="s">
        <v>24</v>
      </c>
      <c r="B3" s="500" t="s">
        <v>0</v>
      </c>
      <c r="C3" s="498" t="s">
        <v>55</v>
      </c>
      <c r="D3" s="502" t="s">
        <v>56</v>
      </c>
      <c r="E3" s="504" t="s">
        <v>57</v>
      </c>
      <c r="F3" s="22" t="s">
        <v>45</v>
      </c>
      <c r="G3" s="506" t="s">
        <v>58</v>
      </c>
      <c r="H3" s="507"/>
    </row>
    <row r="4" spans="1:8" ht="16.2" thickBot="1" x14ac:dyDescent="0.35">
      <c r="A4" s="499"/>
      <c r="B4" s="501"/>
      <c r="C4" s="499"/>
      <c r="D4" s="503"/>
      <c r="E4" s="505"/>
      <c r="F4" s="23"/>
      <c r="G4" s="24" t="s">
        <v>59</v>
      </c>
      <c r="H4" s="25" t="s">
        <v>60</v>
      </c>
    </row>
    <row r="5" spans="1:8" ht="14.4" thickBot="1" x14ac:dyDescent="0.3">
      <c r="A5" s="3" t="s">
        <v>61</v>
      </c>
      <c r="F5" s="20"/>
    </row>
    <row r="6" spans="1:8" ht="13.8" x14ac:dyDescent="0.25">
      <c r="A6" s="7" t="s">
        <v>1</v>
      </c>
      <c r="B6" s="26">
        <v>63</v>
      </c>
      <c r="C6" s="27">
        <v>0</v>
      </c>
      <c r="D6" s="26">
        <v>1</v>
      </c>
      <c r="E6" s="27">
        <v>1</v>
      </c>
      <c r="F6" s="28">
        <v>0</v>
      </c>
      <c r="G6" s="29">
        <v>0</v>
      </c>
      <c r="H6" s="30">
        <v>6</v>
      </c>
    </row>
    <row r="7" spans="1:8" ht="13.8" x14ac:dyDescent="0.25">
      <c r="A7" s="8" t="s">
        <v>2</v>
      </c>
      <c r="B7" s="31">
        <v>663</v>
      </c>
      <c r="C7" s="32">
        <v>0</v>
      </c>
      <c r="D7" s="31">
        <v>4</v>
      </c>
      <c r="E7" s="32">
        <v>0</v>
      </c>
      <c r="F7" s="31">
        <v>0</v>
      </c>
      <c r="G7" s="33">
        <v>0</v>
      </c>
      <c r="H7" s="34">
        <v>10</v>
      </c>
    </row>
    <row r="8" spans="1:8" ht="13.8" x14ac:dyDescent="0.25">
      <c r="A8" s="8" t="s">
        <v>14</v>
      </c>
      <c r="B8" s="31">
        <v>116</v>
      </c>
      <c r="C8" s="32">
        <v>0</v>
      </c>
      <c r="D8" s="31">
        <v>1</v>
      </c>
      <c r="E8" s="32">
        <v>0</v>
      </c>
      <c r="F8" s="31">
        <v>0</v>
      </c>
      <c r="G8" s="33">
        <v>0</v>
      </c>
      <c r="H8" s="35">
        <v>2</v>
      </c>
    </row>
    <row r="9" spans="1:8" ht="13.8" x14ac:dyDescent="0.25">
      <c r="A9" s="9" t="s">
        <v>3</v>
      </c>
      <c r="B9" s="36">
        <v>108</v>
      </c>
      <c r="C9" s="37">
        <v>0</v>
      </c>
      <c r="D9" s="36">
        <v>1</v>
      </c>
      <c r="E9" s="37">
        <v>0</v>
      </c>
      <c r="F9" s="36">
        <v>0</v>
      </c>
      <c r="G9" s="38">
        <v>0</v>
      </c>
      <c r="H9" s="39">
        <v>1</v>
      </c>
    </row>
    <row r="10" spans="1:8" ht="29.55" customHeight="1" thickBot="1" x14ac:dyDescent="0.3">
      <c r="A10" s="40" t="s">
        <v>23</v>
      </c>
      <c r="B10" s="41">
        <v>774</v>
      </c>
      <c r="C10" s="42">
        <v>1</v>
      </c>
      <c r="D10" s="41">
        <v>8</v>
      </c>
      <c r="E10" s="42">
        <v>0</v>
      </c>
      <c r="F10" s="41">
        <v>0</v>
      </c>
      <c r="G10" s="43">
        <v>0</v>
      </c>
      <c r="H10" s="44">
        <v>9</v>
      </c>
    </row>
    <row r="11" spans="1:8" ht="14.4" thickBot="1" x14ac:dyDescent="0.3">
      <c r="A11" s="10" t="s">
        <v>21</v>
      </c>
      <c r="B11" s="17">
        <f t="shared" ref="B11:H11" si="0">SUM(B6:B10)</f>
        <v>1724</v>
      </c>
      <c r="C11" s="45">
        <f t="shared" si="0"/>
        <v>1</v>
      </c>
      <c r="D11" s="45">
        <f t="shared" si="0"/>
        <v>15</v>
      </c>
      <c r="E11" s="45">
        <f t="shared" si="0"/>
        <v>1</v>
      </c>
      <c r="F11" s="45">
        <f t="shared" si="0"/>
        <v>0</v>
      </c>
      <c r="G11" s="45">
        <f t="shared" si="0"/>
        <v>0</v>
      </c>
      <c r="H11" s="45">
        <f t="shared" si="0"/>
        <v>28</v>
      </c>
    </row>
    <row r="12" spans="1:8" ht="13.8" x14ac:dyDescent="0.25">
      <c r="A12" s="4"/>
      <c r="B12" s="2"/>
      <c r="C12" s="2"/>
      <c r="D12" s="2"/>
      <c r="E12" s="2"/>
      <c r="F12" s="29"/>
      <c r="G12" s="2"/>
      <c r="H12" s="48"/>
    </row>
    <row r="13" spans="1:8" ht="14.4" thickBot="1" x14ac:dyDescent="0.3">
      <c r="A13" s="3" t="s">
        <v>62</v>
      </c>
      <c r="F13" s="49"/>
    </row>
    <row r="14" spans="1:8" ht="13.8" x14ac:dyDescent="0.25">
      <c r="A14" s="7" t="s">
        <v>4</v>
      </c>
      <c r="B14" s="26">
        <v>33</v>
      </c>
      <c r="C14" s="27">
        <v>0</v>
      </c>
      <c r="D14" s="26">
        <v>0</v>
      </c>
      <c r="E14" s="27">
        <v>0</v>
      </c>
      <c r="F14" s="26">
        <v>0</v>
      </c>
      <c r="G14" s="50">
        <v>0</v>
      </c>
      <c r="H14" s="51">
        <v>0</v>
      </c>
    </row>
    <row r="15" spans="1:8" ht="13.8" x14ac:dyDescent="0.25">
      <c r="A15" s="11" t="s">
        <v>5</v>
      </c>
      <c r="B15" s="31">
        <v>289</v>
      </c>
      <c r="C15" s="32">
        <v>0</v>
      </c>
      <c r="D15" s="31">
        <v>5</v>
      </c>
      <c r="E15" s="32">
        <v>0</v>
      </c>
      <c r="F15" s="31">
        <v>0</v>
      </c>
      <c r="G15" s="33">
        <v>0</v>
      </c>
      <c r="H15" s="34">
        <v>5</v>
      </c>
    </row>
    <row r="16" spans="1:8" ht="13.8" x14ac:dyDescent="0.25">
      <c r="A16" s="11" t="s">
        <v>6</v>
      </c>
      <c r="B16" s="31">
        <v>57</v>
      </c>
      <c r="C16" s="32">
        <v>0</v>
      </c>
      <c r="D16" s="31">
        <v>0</v>
      </c>
      <c r="E16" s="32">
        <v>0</v>
      </c>
      <c r="F16" s="31">
        <v>0</v>
      </c>
      <c r="G16" s="33">
        <v>0</v>
      </c>
      <c r="H16" s="35">
        <v>2</v>
      </c>
    </row>
    <row r="17" spans="1:8" ht="13.8" x14ac:dyDescent="0.25">
      <c r="A17" s="11" t="s">
        <v>7</v>
      </c>
      <c r="B17" s="31">
        <v>28</v>
      </c>
      <c r="C17" s="32">
        <v>0</v>
      </c>
      <c r="D17" s="31">
        <v>0</v>
      </c>
      <c r="E17" s="32">
        <v>0</v>
      </c>
      <c r="F17" s="31">
        <v>0</v>
      </c>
      <c r="G17" s="33">
        <v>0</v>
      </c>
      <c r="H17" s="35">
        <v>0</v>
      </c>
    </row>
    <row r="18" spans="1:8" ht="13.8" x14ac:dyDescent="0.25">
      <c r="A18" s="11" t="s">
        <v>8</v>
      </c>
      <c r="B18" s="31">
        <v>7</v>
      </c>
      <c r="C18" s="32">
        <v>0</v>
      </c>
      <c r="D18" s="31">
        <v>0</v>
      </c>
      <c r="E18" s="32">
        <v>0</v>
      </c>
      <c r="F18" s="31">
        <v>0</v>
      </c>
      <c r="G18" s="33">
        <v>0</v>
      </c>
      <c r="H18" s="35">
        <v>0</v>
      </c>
    </row>
    <row r="19" spans="1:8" ht="13.8" x14ac:dyDescent="0.25">
      <c r="A19" s="11" t="s">
        <v>9</v>
      </c>
      <c r="B19" s="31">
        <v>17</v>
      </c>
      <c r="C19" s="32">
        <v>1</v>
      </c>
      <c r="D19" s="31">
        <v>0</v>
      </c>
      <c r="E19" s="32">
        <v>0</v>
      </c>
      <c r="F19" s="31">
        <v>0</v>
      </c>
      <c r="G19" s="33">
        <v>0</v>
      </c>
      <c r="H19" s="35">
        <v>1</v>
      </c>
    </row>
    <row r="20" spans="1:8" ht="13.8" x14ac:dyDescent="0.25">
      <c r="A20" s="11" t="s">
        <v>10</v>
      </c>
      <c r="B20" s="31">
        <v>21</v>
      </c>
      <c r="C20" s="32">
        <v>0</v>
      </c>
      <c r="D20" s="31">
        <v>0</v>
      </c>
      <c r="E20" s="32">
        <v>0</v>
      </c>
      <c r="F20" s="31">
        <v>0</v>
      </c>
      <c r="G20" s="33">
        <v>0</v>
      </c>
      <c r="H20" s="35">
        <v>0</v>
      </c>
    </row>
    <row r="21" spans="1:8" ht="13.8" x14ac:dyDescent="0.25">
      <c r="A21" s="11" t="s">
        <v>11</v>
      </c>
      <c r="B21" s="31">
        <v>90</v>
      </c>
      <c r="C21" s="32">
        <v>1</v>
      </c>
      <c r="D21" s="31">
        <v>0</v>
      </c>
      <c r="E21" s="32">
        <v>0</v>
      </c>
      <c r="F21" s="31">
        <v>0</v>
      </c>
      <c r="G21" s="33">
        <v>0</v>
      </c>
      <c r="H21" s="35">
        <v>4</v>
      </c>
    </row>
    <row r="22" spans="1:8" ht="13.8" x14ac:dyDescent="0.25">
      <c r="A22" s="11" t="s">
        <v>12</v>
      </c>
      <c r="B22" s="31">
        <v>1604</v>
      </c>
      <c r="C22" s="32">
        <v>4</v>
      </c>
      <c r="D22" s="31">
        <v>12</v>
      </c>
      <c r="E22" s="32">
        <v>0</v>
      </c>
      <c r="F22" s="31">
        <v>3</v>
      </c>
      <c r="G22" s="33">
        <v>0</v>
      </c>
      <c r="H22" s="34">
        <v>25</v>
      </c>
    </row>
    <row r="23" spans="1:8" ht="13.8" x14ac:dyDescent="0.25">
      <c r="A23" s="12" t="s">
        <v>13</v>
      </c>
      <c r="B23" s="36">
        <v>1</v>
      </c>
      <c r="C23" s="37">
        <v>0</v>
      </c>
      <c r="D23" s="36">
        <v>0</v>
      </c>
      <c r="E23" s="37">
        <v>0</v>
      </c>
      <c r="F23" s="36">
        <v>0</v>
      </c>
      <c r="G23" s="38">
        <v>0</v>
      </c>
      <c r="H23" s="52">
        <v>1</v>
      </c>
    </row>
    <row r="24" spans="1:8" ht="27" customHeight="1" thickBot="1" x14ac:dyDescent="0.3">
      <c r="A24" s="40" t="s">
        <v>23</v>
      </c>
      <c r="B24" s="41">
        <v>434</v>
      </c>
      <c r="C24" s="42">
        <v>1</v>
      </c>
      <c r="D24" s="41">
        <v>5</v>
      </c>
      <c r="E24" s="42">
        <v>0</v>
      </c>
      <c r="F24" s="41">
        <v>0</v>
      </c>
      <c r="G24" s="43">
        <v>0</v>
      </c>
      <c r="H24" s="53">
        <v>23</v>
      </c>
    </row>
    <row r="25" spans="1:8" ht="14.4" thickBot="1" x14ac:dyDescent="0.3">
      <c r="A25" s="13" t="s">
        <v>22</v>
      </c>
      <c r="B25" s="17">
        <f>SUM(B14:B24)</f>
        <v>2581</v>
      </c>
      <c r="C25" s="17">
        <f t="shared" ref="C25:H25" si="1">SUM(C14:C24)</f>
        <v>7</v>
      </c>
      <c r="D25" s="17">
        <f t="shared" si="1"/>
        <v>22</v>
      </c>
      <c r="E25" s="17">
        <f t="shared" si="1"/>
        <v>0</v>
      </c>
      <c r="F25" s="17">
        <f t="shared" si="1"/>
        <v>3</v>
      </c>
      <c r="G25" s="17">
        <f t="shared" si="1"/>
        <v>0</v>
      </c>
      <c r="H25" s="17">
        <f t="shared" si="1"/>
        <v>61</v>
      </c>
    </row>
    <row r="26" spans="1:8" ht="13.8" x14ac:dyDescent="0.25">
      <c r="A26" s="5"/>
      <c r="B26" s="2"/>
      <c r="C26" s="2"/>
      <c r="D26" s="2"/>
      <c r="E26" s="2"/>
      <c r="F26" s="29"/>
      <c r="G26" s="2"/>
      <c r="H26" s="2"/>
    </row>
    <row r="27" spans="1:8" ht="14.4" thickBot="1" x14ac:dyDescent="0.3">
      <c r="A27" s="6" t="s">
        <v>63</v>
      </c>
      <c r="B27" s="2"/>
      <c r="C27" s="2"/>
      <c r="D27" s="2"/>
      <c r="E27" s="2"/>
      <c r="F27" s="49"/>
      <c r="G27" s="2"/>
      <c r="H27" s="2"/>
    </row>
    <row r="28" spans="1:8" ht="13.8" x14ac:dyDescent="0.25">
      <c r="A28" s="7" t="s">
        <v>15</v>
      </c>
      <c r="B28" s="26">
        <v>3400</v>
      </c>
      <c r="C28" s="27">
        <v>3</v>
      </c>
      <c r="D28" s="26">
        <v>7</v>
      </c>
      <c r="E28" s="27">
        <v>1</v>
      </c>
      <c r="F28" s="26">
        <v>0</v>
      </c>
      <c r="G28" s="50">
        <v>0</v>
      </c>
      <c r="H28" s="51">
        <v>10</v>
      </c>
    </row>
    <row r="29" spans="1:8" ht="13.8" x14ac:dyDescent="0.25">
      <c r="A29" s="11" t="s">
        <v>16</v>
      </c>
      <c r="B29" s="31">
        <v>1527</v>
      </c>
      <c r="C29" s="32">
        <v>5</v>
      </c>
      <c r="D29" s="31">
        <v>6</v>
      </c>
      <c r="E29" s="32">
        <v>3</v>
      </c>
      <c r="F29" s="31">
        <v>3</v>
      </c>
      <c r="G29" s="33">
        <v>0</v>
      </c>
      <c r="H29" s="35">
        <v>16</v>
      </c>
    </row>
    <row r="30" spans="1:8" ht="13.8" x14ac:dyDescent="0.25">
      <c r="A30" s="11" t="s">
        <v>34</v>
      </c>
      <c r="B30" s="31">
        <v>894</v>
      </c>
      <c r="C30" s="32">
        <v>2</v>
      </c>
      <c r="D30" s="31">
        <v>3</v>
      </c>
      <c r="E30" s="32">
        <v>0</v>
      </c>
      <c r="F30" s="31">
        <v>0</v>
      </c>
      <c r="G30" s="33">
        <v>0</v>
      </c>
      <c r="H30" s="35">
        <v>4</v>
      </c>
    </row>
    <row r="31" spans="1:8" ht="13.8" x14ac:dyDescent="0.25">
      <c r="A31" s="11" t="s">
        <v>17</v>
      </c>
      <c r="B31" s="31">
        <v>7764</v>
      </c>
      <c r="C31" s="32">
        <v>4</v>
      </c>
      <c r="D31" s="31">
        <v>6</v>
      </c>
      <c r="E31" s="32">
        <v>3</v>
      </c>
      <c r="F31" s="31">
        <v>0</v>
      </c>
      <c r="G31" s="33">
        <v>0</v>
      </c>
      <c r="H31" s="35">
        <v>27</v>
      </c>
    </row>
    <row r="32" spans="1:8" ht="13.8" x14ac:dyDescent="0.25">
      <c r="A32" s="11" t="s">
        <v>18</v>
      </c>
      <c r="B32" s="31">
        <v>1612</v>
      </c>
      <c r="C32" s="32">
        <v>0</v>
      </c>
      <c r="D32" s="31">
        <v>0</v>
      </c>
      <c r="E32" s="32">
        <v>2</v>
      </c>
      <c r="F32" s="31">
        <v>1</v>
      </c>
      <c r="G32" s="33">
        <v>0</v>
      </c>
      <c r="H32" s="35">
        <v>18</v>
      </c>
    </row>
    <row r="33" spans="1:8" ht="13.8" x14ac:dyDescent="0.25">
      <c r="A33" s="11" t="s">
        <v>19</v>
      </c>
      <c r="B33" s="31">
        <v>10044</v>
      </c>
      <c r="C33" s="32">
        <v>20</v>
      </c>
      <c r="D33" s="31">
        <v>51</v>
      </c>
      <c r="E33" s="32">
        <v>10</v>
      </c>
      <c r="F33" s="31">
        <v>10</v>
      </c>
      <c r="G33" s="33">
        <v>1</v>
      </c>
      <c r="H33" s="35">
        <v>95</v>
      </c>
    </row>
    <row r="34" spans="1:8" ht="13.8" x14ac:dyDescent="0.25">
      <c r="A34" s="11" t="s">
        <v>20</v>
      </c>
      <c r="B34" s="31">
        <v>8230</v>
      </c>
      <c r="C34" s="32">
        <v>18</v>
      </c>
      <c r="D34" s="31">
        <v>27</v>
      </c>
      <c r="E34" s="32">
        <v>4</v>
      </c>
      <c r="F34" s="31">
        <v>2</v>
      </c>
      <c r="G34" s="33">
        <v>0</v>
      </c>
      <c r="H34" s="35">
        <v>54</v>
      </c>
    </row>
    <row r="35" spans="1:8" ht="13.8" x14ac:dyDescent="0.25">
      <c r="A35" s="11" t="s">
        <v>25</v>
      </c>
      <c r="B35" s="31">
        <v>86</v>
      </c>
      <c r="C35" s="32">
        <v>0</v>
      </c>
      <c r="D35" s="31">
        <v>6</v>
      </c>
      <c r="E35" s="32">
        <v>1</v>
      </c>
      <c r="F35" s="31">
        <v>0</v>
      </c>
      <c r="G35" s="33">
        <v>0</v>
      </c>
      <c r="H35" s="35">
        <v>24</v>
      </c>
    </row>
    <row r="36" spans="1:8" ht="14.4" thickBot="1" x14ac:dyDescent="0.3">
      <c r="A36" s="12" t="s">
        <v>26</v>
      </c>
      <c r="B36" s="36">
        <v>84881</v>
      </c>
      <c r="C36" s="37">
        <v>84</v>
      </c>
      <c r="D36" s="36">
        <v>177</v>
      </c>
      <c r="E36" s="37">
        <v>51</v>
      </c>
      <c r="F36" s="36">
        <v>18</v>
      </c>
      <c r="G36" s="38">
        <v>6</v>
      </c>
      <c r="H36" s="52">
        <v>473</v>
      </c>
    </row>
    <row r="37" spans="1:8" ht="14.4" thickBot="1" x14ac:dyDescent="0.3">
      <c r="A37" s="13" t="s">
        <v>21</v>
      </c>
      <c r="B37" s="17">
        <f>SUM(B28:B36)</f>
        <v>118438</v>
      </c>
      <c r="C37" s="17">
        <f t="shared" ref="C37:H37" si="2">SUM(C28:C36)</f>
        <v>136</v>
      </c>
      <c r="D37" s="17">
        <f t="shared" si="2"/>
        <v>283</v>
      </c>
      <c r="E37" s="17">
        <f t="shared" si="2"/>
        <v>75</v>
      </c>
      <c r="F37" s="17">
        <f t="shared" si="2"/>
        <v>34</v>
      </c>
      <c r="G37" s="17">
        <f t="shared" si="2"/>
        <v>7</v>
      </c>
      <c r="H37" s="17">
        <f t="shared" si="2"/>
        <v>721</v>
      </c>
    </row>
    <row r="38" spans="1:8" ht="13.8" x14ac:dyDescent="0.25">
      <c r="A38" s="14"/>
      <c r="B38" s="29"/>
      <c r="C38" s="29"/>
      <c r="D38" s="29"/>
      <c r="E38" s="29"/>
      <c r="F38" s="29"/>
      <c r="G38" s="29"/>
      <c r="H38" s="29"/>
    </row>
    <row r="39" spans="1:8" ht="14.4" thickBot="1" x14ac:dyDescent="0.3">
      <c r="A39" s="15" t="s">
        <v>28</v>
      </c>
      <c r="B39" s="49"/>
      <c r="C39" s="49"/>
      <c r="D39" s="49"/>
      <c r="E39" s="49"/>
      <c r="F39" s="49"/>
      <c r="G39" s="49"/>
      <c r="H39" s="49"/>
    </row>
    <row r="40" spans="1:8" ht="13.8" x14ac:dyDescent="0.25">
      <c r="A40" s="7" t="s">
        <v>68</v>
      </c>
      <c r="B40" s="26">
        <v>113</v>
      </c>
      <c r="C40" s="27">
        <v>0</v>
      </c>
      <c r="D40" s="26">
        <v>0</v>
      </c>
      <c r="E40" s="27">
        <v>0</v>
      </c>
      <c r="F40" s="26">
        <v>0</v>
      </c>
      <c r="G40" s="50">
        <v>0</v>
      </c>
      <c r="H40" s="51">
        <v>0</v>
      </c>
    </row>
    <row r="41" spans="1:8" ht="14.4" thickBot="1" x14ac:dyDescent="0.3">
      <c r="A41" s="12" t="s">
        <v>27</v>
      </c>
      <c r="B41" s="36">
        <v>57996</v>
      </c>
      <c r="C41" s="37">
        <v>18</v>
      </c>
      <c r="D41" s="36">
        <v>22</v>
      </c>
      <c r="E41" s="37">
        <v>1</v>
      </c>
      <c r="F41" s="36">
        <v>3</v>
      </c>
      <c r="G41" s="38">
        <v>1</v>
      </c>
      <c r="H41" s="52">
        <v>55</v>
      </c>
    </row>
    <row r="42" spans="1:8" ht="14.4" thickBot="1" x14ac:dyDescent="0.3">
      <c r="A42" s="13" t="s">
        <v>21</v>
      </c>
      <c r="B42" s="17">
        <f>SUM(B40:B41)</f>
        <v>58109</v>
      </c>
      <c r="C42" s="17">
        <f t="shared" ref="C42:H42" si="3">SUM(C40:C41)</f>
        <v>18</v>
      </c>
      <c r="D42" s="17">
        <f t="shared" si="3"/>
        <v>22</v>
      </c>
      <c r="E42" s="17">
        <f t="shared" si="3"/>
        <v>1</v>
      </c>
      <c r="F42" s="17">
        <f t="shared" si="3"/>
        <v>3</v>
      </c>
      <c r="G42" s="17">
        <f t="shared" si="3"/>
        <v>1</v>
      </c>
      <c r="H42" s="17">
        <f t="shared" si="3"/>
        <v>55</v>
      </c>
    </row>
  </sheetData>
  <mergeCells count="7">
    <mergeCell ref="A1:G1"/>
    <mergeCell ref="A3:A4"/>
    <mergeCell ref="B3:B4"/>
    <mergeCell ref="C3:C4"/>
    <mergeCell ref="D3:D4"/>
    <mergeCell ref="E3:E4"/>
    <mergeCell ref="G3:H3"/>
  </mergeCells>
  <pageMargins left="0.39370078740157483" right="0.39370078740157483" top="0.19685039370078741" bottom="0.19685039370078741" header="0.51181102362204722" footer="0.51181102362204722"/>
  <pageSetup paperSize="9" scale="83" orientation="landscape" horizontalDpi="300" verticalDpi="300" r:id="rId1"/>
  <headerFooter alignWithMargins="0">
    <oddHeader>&amp;L&amp;F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I44"/>
  <sheetViews>
    <sheetView zoomScaleNormal="100" workbookViewId="0">
      <selection activeCell="D36" sqref="D36"/>
    </sheetView>
  </sheetViews>
  <sheetFormatPr baseColWidth="10" defaultRowHeight="13.2" x14ac:dyDescent="0.25"/>
  <cols>
    <col min="1" max="1" width="26" bestFit="1" customWidth="1"/>
    <col min="2" max="2" width="17" customWidth="1"/>
    <col min="3" max="3" width="23.21875" customWidth="1"/>
    <col min="4" max="4" width="21.44140625" customWidth="1"/>
    <col min="5" max="5" width="16.44140625" customWidth="1"/>
    <col min="6" max="6" width="18.5546875" customWidth="1"/>
    <col min="7" max="7" width="18.44140625" customWidth="1"/>
    <col min="8" max="8" width="20.44140625" customWidth="1"/>
  </cols>
  <sheetData>
    <row r="1" spans="1:8" s="1" customFormat="1" ht="35.1" customHeight="1" x14ac:dyDescent="0.3">
      <c r="A1" s="497" t="s">
        <v>53</v>
      </c>
      <c r="B1" s="497"/>
      <c r="C1" s="497"/>
      <c r="D1" s="497"/>
      <c r="E1" s="497"/>
      <c r="F1" s="508"/>
      <c r="G1" s="511" t="s">
        <v>54</v>
      </c>
      <c r="H1" s="512"/>
    </row>
    <row r="2" spans="1:8" ht="10.35" customHeight="1" thickBot="1" x14ac:dyDescent="0.3"/>
    <row r="3" spans="1:8" ht="57" customHeight="1" x14ac:dyDescent="0.25">
      <c r="A3" s="498" t="s">
        <v>24</v>
      </c>
      <c r="B3" s="500" t="s">
        <v>0</v>
      </c>
      <c r="C3" s="498" t="s">
        <v>55</v>
      </c>
      <c r="D3" s="502" t="s">
        <v>56</v>
      </c>
      <c r="E3" s="504" t="s">
        <v>57</v>
      </c>
      <c r="F3" s="22" t="s">
        <v>45</v>
      </c>
      <c r="G3" s="506" t="s">
        <v>58</v>
      </c>
      <c r="H3" s="507"/>
    </row>
    <row r="4" spans="1:8" ht="16.2" thickBot="1" x14ac:dyDescent="0.35">
      <c r="A4" s="499"/>
      <c r="B4" s="501"/>
      <c r="C4" s="499"/>
      <c r="D4" s="503"/>
      <c r="E4" s="505"/>
      <c r="F4" s="23"/>
      <c r="G4" s="24" t="s">
        <v>59</v>
      </c>
      <c r="H4" s="25" t="s">
        <v>60</v>
      </c>
    </row>
    <row r="5" spans="1:8" ht="14.4" thickBot="1" x14ac:dyDescent="0.3">
      <c r="A5" s="3" t="s">
        <v>61</v>
      </c>
      <c r="F5" s="20"/>
    </row>
    <row r="6" spans="1:8" ht="13.8" x14ac:dyDescent="0.25">
      <c r="A6" s="7" t="s">
        <v>1</v>
      </c>
      <c r="B6" s="26">
        <v>41</v>
      </c>
      <c r="C6" s="27"/>
      <c r="D6" s="26"/>
      <c r="E6" s="27">
        <v>1</v>
      </c>
      <c r="F6" s="28"/>
      <c r="G6" s="29"/>
      <c r="H6" s="30">
        <v>2</v>
      </c>
    </row>
    <row r="7" spans="1:8" ht="13.8" x14ac:dyDescent="0.25">
      <c r="A7" s="8" t="s">
        <v>2</v>
      </c>
      <c r="B7" s="31">
        <v>352</v>
      </c>
      <c r="C7" s="32">
        <v>1</v>
      </c>
      <c r="D7" s="31">
        <v>4</v>
      </c>
      <c r="E7" s="32">
        <v>1</v>
      </c>
      <c r="F7" s="31">
        <v>1</v>
      </c>
      <c r="G7" s="33"/>
      <c r="H7" s="34">
        <v>12</v>
      </c>
    </row>
    <row r="8" spans="1:8" ht="13.8" x14ac:dyDescent="0.25">
      <c r="A8" s="8" t="s">
        <v>14</v>
      </c>
      <c r="B8" s="31">
        <v>43</v>
      </c>
      <c r="C8" s="32"/>
      <c r="D8" s="31"/>
      <c r="E8" s="32"/>
      <c r="F8" s="31"/>
      <c r="G8" s="33"/>
      <c r="H8" s="35">
        <v>2</v>
      </c>
    </row>
    <row r="9" spans="1:8" ht="13.8" x14ac:dyDescent="0.25">
      <c r="A9" s="9" t="s">
        <v>3</v>
      </c>
      <c r="B9" s="36">
        <v>50</v>
      </c>
      <c r="C9" s="37"/>
      <c r="D9" s="36"/>
      <c r="E9" s="37">
        <v>1</v>
      </c>
      <c r="F9" s="36"/>
      <c r="G9" s="38"/>
      <c r="H9" s="39">
        <v>1</v>
      </c>
    </row>
    <row r="10" spans="1:8" ht="29.55" customHeight="1" thickBot="1" x14ac:dyDescent="0.3">
      <c r="A10" s="40" t="s">
        <v>23</v>
      </c>
      <c r="B10" s="41">
        <v>369</v>
      </c>
      <c r="C10" s="42">
        <v>1</v>
      </c>
      <c r="D10" s="41">
        <v>1</v>
      </c>
      <c r="E10" s="42">
        <v>3</v>
      </c>
      <c r="F10" s="41"/>
      <c r="G10" s="43"/>
      <c r="H10" s="44">
        <v>10</v>
      </c>
    </row>
    <row r="11" spans="1:8" ht="14.4" thickBot="1" x14ac:dyDescent="0.3">
      <c r="A11" s="10" t="s">
        <v>21</v>
      </c>
      <c r="B11" s="17">
        <f t="shared" ref="B11:H11" si="0">SUM(B6:B10)</f>
        <v>855</v>
      </c>
      <c r="C11" s="45">
        <f t="shared" si="0"/>
        <v>2</v>
      </c>
      <c r="D11" s="17">
        <f t="shared" si="0"/>
        <v>5</v>
      </c>
      <c r="E11" s="45">
        <f t="shared" si="0"/>
        <v>6</v>
      </c>
      <c r="F11" s="17">
        <f t="shared" si="0"/>
        <v>1</v>
      </c>
      <c r="G11" s="46">
        <f t="shared" si="0"/>
        <v>0</v>
      </c>
      <c r="H11" s="47">
        <f t="shared" si="0"/>
        <v>27</v>
      </c>
    </row>
    <row r="12" spans="1:8" ht="13.8" x14ac:dyDescent="0.25">
      <c r="A12" s="4"/>
      <c r="B12" s="2"/>
      <c r="C12" s="2"/>
      <c r="D12" s="2"/>
      <c r="E12" s="2"/>
      <c r="F12" s="29"/>
      <c r="G12" s="2"/>
      <c r="H12" s="48"/>
    </row>
    <row r="13" spans="1:8" ht="14.4" thickBot="1" x14ac:dyDescent="0.3">
      <c r="A13" s="3" t="s">
        <v>62</v>
      </c>
      <c r="F13" s="49"/>
    </row>
    <row r="14" spans="1:8" ht="13.8" x14ac:dyDescent="0.25">
      <c r="A14" s="7" t="s">
        <v>4</v>
      </c>
      <c r="B14" s="26">
        <v>14</v>
      </c>
      <c r="C14" s="27"/>
      <c r="D14" s="26"/>
      <c r="E14" s="27"/>
      <c r="F14" s="26"/>
      <c r="G14" s="50"/>
      <c r="H14" s="51"/>
    </row>
    <row r="15" spans="1:8" ht="13.8" x14ac:dyDescent="0.25">
      <c r="A15" s="11" t="s">
        <v>5</v>
      </c>
      <c r="B15" s="31">
        <v>89</v>
      </c>
      <c r="C15" s="32"/>
      <c r="D15" s="31"/>
      <c r="E15" s="32"/>
      <c r="F15" s="31"/>
      <c r="G15" s="33"/>
      <c r="H15" s="34">
        <v>4</v>
      </c>
    </row>
    <row r="16" spans="1:8" ht="13.8" x14ac:dyDescent="0.25">
      <c r="A16" s="11" t="s">
        <v>6</v>
      </c>
      <c r="B16" s="31">
        <v>32</v>
      </c>
      <c r="C16" s="32"/>
      <c r="D16" s="31"/>
      <c r="E16" s="32"/>
      <c r="F16" s="31"/>
      <c r="G16" s="33"/>
      <c r="H16" s="35"/>
    </row>
    <row r="17" spans="1:9" ht="13.8" x14ac:dyDescent="0.25">
      <c r="A17" s="11" t="s">
        <v>7</v>
      </c>
      <c r="B17" s="31">
        <v>27</v>
      </c>
      <c r="C17" s="32"/>
      <c r="D17" s="31"/>
      <c r="E17" s="32"/>
      <c r="F17" s="31"/>
      <c r="G17" s="33"/>
      <c r="H17" s="35">
        <v>1</v>
      </c>
    </row>
    <row r="18" spans="1:9" ht="13.8" x14ac:dyDescent="0.25">
      <c r="A18" s="11" t="s">
        <v>8</v>
      </c>
      <c r="B18" s="31">
        <v>3</v>
      </c>
      <c r="C18" s="32"/>
      <c r="D18" s="31"/>
      <c r="E18" s="32"/>
      <c r="F18" s="31"/>
      <c r="G18" s="33"/>
      <c r="H18" s="35"/>
    </row>
    <row r="19" spans="1:9" ht="13.8" x14ac:dyDescent="0.25">
      <c r="A19" s="11" t="s">
        <v>9</v>
      </c>
      <c r="B19" s="31">
        <v>7</v>
      </c>
      <c r="C19" s="32"/>
      <c r="D19" s="31"/>
      <c r="E19" s="32"/>
      <c r="F19" s="31"/>
      <c r="G19" s="33"/>
      <c r="H19" s="35"/>
    </row>
    <row r="20" spans="1:9" ht="13.8" x14ac:dyDescent="0.25">
      <c r="A20" s="11" t="s">
        <v>10</v>
      </c>
      <c r="B20" s="31">
        <v>1</v>
      </c>
      <c r="C20" s="32"/>
      <c r="D20" s="31"/>
      <c r="E20" s="32"/>
      <c r="F20" s="31"/>
      <c r="G20" s="33"/>
      <c r="H20" s="35"/>
    </row>
    <row r="21" spans="1:9" ht="13.8" x14ac:dyDescent="0.25">
      <c r="A21" s="11" t="s">
        <v>11</v>
      </c>
      <c r="B21" s="31">
        <v>39</v>
      </c>
      <c r="C21" s="32"/>
      <c r="D21" s="31"/>
      <c r="E21" s="32"/>
      <c r="F21" s="31"/>
      <c r="G21" s="33"/>
      <c r="H21" s="35"/>
    </row>
    <row r="22" spans="1:9" ht="13.8" x14ac:dyDescent="0.25">
      <c r="A22" s="11" t="s">
        <v>12</v>
      </c>
      <c r="B22" s="31">
        <v>826</v>
      </c>
      <c r="C22" s="32">
        <v>4</v>
      </c>
      <c r="D22" s="31">
        <v>4</v>
      </c>
      <c r="E22" s="32">
        <v>3</v>
      </c>
      <c r="F22" s="31">
        <v>1</v>
      </c>
      <c r="G22" s="33">
        <v>1</v>
      </c>
      <c r="H22" s="34">
        <v>27</v>
      </c>
    </row>
    <row r="23" spans="1:9" ht="13.8" x14ac:dyDescent="0.25">
      <c r="A23" s="12" t="s">
        <v>13</v>
      </c>
      <c r="B23" s="36">
        <v>3</v>
      </c>
      <c r="C23" s="37"/>
      <c r="D23" s="36"/>
      <c r="E23" s="37"/>
      <c r="F23" s="36"/>
      <c r="G23" s="38"/>
      <c r="H23" s="52"/>
    </row>
    <row r="24" spans="1:9" ht="27" customHeight="1" thickBot="1" x14ac:dyDescent="0.3">
      <c r="A24" s="40" t="s">
        <v>23</v>
      </c>
      <c r="B24" s="41">
        <v>244</v>
      </c>
      <c r="C24" s="42">
        <v>1</v>
      </c>
      <c r="D24" s="41"/>
      <c r="E24" s="42"/>
      <c r="F24" s="41"/>
      <c r="G24" s="43"/>
      <c r="H24" s="53">
        <v>5</v>
      </c>
    </row>
    <row r="25" spans="1:9" ht="14.4" thickBot="1" x14ac:dyDescent="0.3">
      <c r="A25" s="13" t="s">
        <v>22</v>
      </c>
      <c r="B25" s="54">
        <f t="shared" ref="B25:H25" si="1">SUM(B14:B24)</f>
        <v>1285</v>
      </c>
      <c r="C25" s="55">
        <f t="shared" si="1"/>
        <v>5</v>
      </c>
      <c r="D25" s="56">
        <f t="shared" si="1"/>
        <v>4</v>
      </c>
      <c r="E25" s="45">
        <f t="shared" si="1"/>
        <v>3</v>
      </c>
      <c r="F25" s="17">
        <f t="shared" si="1"/>
        <v>1</v>
      </c>
      <c r="G25" s="46">
        <f t="shared" si="1"/>
        <v>1</v>
      </c>
      <c r="H25" s="56">
        <f t="shared" si="1"/>
        <v>37</v>
      </c>
    </row>
    <row r="26" spans="1:9" ht="13.8" x14ac:dyDescent="0.25">
      <c r="A26" s="5"/>
      <c r="B26" s="2"/>
      <c r="C26" s="2"/>
      <c r="D26" s="2"/>
      <c r="E26" s="2"/>
      <c r="F26" s="29"/>
      <c r="G26" s="2"/>
      <c r="H26" s="2"/>
    </row>
    <row r="27" spans="1:9" ht="14.4" thickBot="1" x14ac:dyDescent="0.3">
      <c r="A27" s="6" t="s">
        <v>63</v>
      </c>
      <c r="B27" s="2"/>
      <c r="C27" s="2"/>
      <c r="D27" s="2"/>
      <c r="E27" s="2"/>
      <c r="F27" s="49"/>
      <c r="G27" s="2"/>
      <c r="H27" s="2"/>
    </row>
    <row r="28" spans="1:9" ht="13.8" x14ac:dyDescent="0.25">
      <c r="A28" s="7" t="s">
        <v>15</v>
      </c>
      <c r="B28" s="57">
        <v>3005</v>
      </c>
      <c r="C28" s="27"/>
      <c r="D28" s="26"/>
      <c r="E28" s="27">
        <v>1</v>
      </c>
      <c r="F28" s="26"/>
      <c r="G28" s="50"/>
      <c r="H28" s="51">
        <v>7</v>
      </c>
    </row>
    <row r="29" spans="1:9" ht="13.8" x14ac:dyDescent="0.25">
      <c r="A29" s="11" t="s">
        <v>16</v>
      </c>
      <c r="B29" s="58">
        <v>1005</v>
      </c>
      <c r="C29" s="32">
        <v>1</v>
      </c>
      <c r="D29" s="31"/>
      <c r="E29" s="32"/>
      <c r="F29" s="31"/>
      <c r="G29" s="33"/>
      <c r="H29" s="35">
        <v>6</v>
      </c>
    </row>
    <row r="30" spans="1:9" ht="13.8" x14ac:dyDescent="0.25">
      <c r="A30" s="11" t="s">
        <v>34</v>
      </c>
      <c r="B30" s="58">
        <v>1308</v>
      </c>
      <c r="C30" s="32"/>
      <c r="D30" s="31">
        <v>5</v>
      </c>
      <c r="E30" s="32">
        <v>2</v>
      </c>
      <c r="F30" s="31"/>
      <c r="G30" s="33">
        <v>1</v>
      </c>
      <c r="H30" s="35">
        <v>4</v>
      </c>
      <c r="I30" s="59"/>
    </row>
    <row r="31" spans="1:9" ht="13.8" x14ac:dyDescent="0.25">
      <c r="A31" s="11" t="s">
        <v>17</v>
      </c>
      <c r="B31" s="58">
        <v>6412</v>
      </c>
      <c r="C31" s="32">
        <v>1</v>
      </c>
      <c r="D31" s="31">
        <v>5</v>
      </c>
      <c r="E31" s="32">
        <v>3</v>
      </c>
      <c r="F31" s="31">
        <v>1</v>
      </c>
      <c r="G31" s="33"/>
      <c r="H31" s="35">
        <v>10</v>
      </c>
    </row>
    <row r="32" spans="1:9" ht="13.8" x14ac:dyDescent="0.25">
      <c r="A32" s="11" t="s">
        <v>18</v>
      </c>
      <c r="B32" s="58">
        <v>2765</v>
      </c>
      <c r="C32" s="32"/>
      <c r="D32" s="31">
        <v>10</v>
      </c>
      <c r="E32" s="32">
        <v>1</v>
      </c>
      <c r="F32" s="31"/>
      <c r="G32" s="33">
        <v>1</v>
      </c>
      <c r="H32" s="35">
        <v>7</v>
      </c>
    </row>
    <row r="33" spans="1:8" ht="13.8" x14ac:dyDescent="0.25">
      <c r="A33" s="11" t="s">
        <v>19</v>
      </c>
      <c r="B33" s="58">
        <v>7456</v>
      </c>
      <c r="C33" s="32">
        <v>13</v>
      </c>
      <c r="D33" s="31">
        <v>24</v>
      </c>
      <c r="E33" s="32">
        <v>5</v>
      </c>
      <c r="F33" s="31">
        <v>3</v>
      </c>
      <c r="G33" s="33"/>
      <c r="H33" s="35">
        <v>36</v>
      </c>
    </row>
    <row r="34" spans="1:8" ht="13.8" x14ac:dyDescent="0.25">
      <c r="A34" s="11" t="s">
        <v>20</v>
      </c>
      <c r="B34" s="58">
        <v>4983</v>
      </c>
      <c r="C34" s="32">
        <v>2</v>
      </c>
      <c r="D34" s="31">
        <v>11</v>
      </c>
      <c r="E34" s="32">
        <v>5</v>
      </c>
      <c r="F34" s="31">
        <v>1</v>
      </c>
      <c r="G34" s="33"/>
      <c r="H34" s="35">
        <v>43</v>
      </c>
    </row>
    <row r="35" spans="1:8" ht="13.8" x14ac:dyDescent="0.25">
      <c r="A35" s="11" t="s">
        <v>25</v>
      </c>
      <c r="B35" s="58">
        <v>26</v>
      </c>
      <c r="C35" s="32"/>
      <c r="D35" s="31">
        <v>1</v>
      </c>
      <c r="E35" s="32"/>
      <c r="F35" s="31">
        <v>1</v>
      </c>
      <c r="G35" s="33"/>
      <c r="H35" s="35"/>
    </row>
    <row r="36" spans="1:8" ht="14.4" thickBot="1" x14ac:dyDescent="0.3">
      <c r="A36" s="12" t="s">
        <v>26</v>
      </c>
      <c r="B36" s="60">
        <v>58835</v>
      </c>
      <c r="C36" s="37">
        <v>48</v>
      </c>
      <c r="D36" s="36">
        <v>67</v>
      </c>
      <c r="E36" s="37">
        <v>32</v>
      </c>
      <c r="F36" s="36">
        <v>8</v>
      </c>
      <c r="G36" s="38">
        <v>1</v>
      </c>
      <c r="H36" s="52">
        <v>416</v>
      </c>
    </row>
    <row r="37" spans="1:8" ht="14.4" thickBot="1" x14ac:dyDescent="0.3">
      <c r="A37" s="13" t="s">
        <v>21</v>
      </c>
      <c r="B37" s="54">
        <f t="shared" ref="B37:H37" si="2">SUM(B28:B36)</f>
        <v>85795</v>
      </c>
      <c r="C37" s="45">
        <f t="shared" si="2"/>
        <v>65</v>
      </c>
      <c r="D37" s="17">
        <f t="shared" si="2"/>
        <v>123</v>
      </c>
      <c r="E37" s="45">
        <f t="shared" si="2"/>
        <v>49</v>
      </c>
      <c r="F37" s="17">
        <f t="shared" si="2"/>
        <v>14</v>
      </c>
      <c r="G37" s="46">
        <f t="shared" si="2"/>
        <v>3</v>
      </c>
      <c r="H37" s="56">
        <f t="shared" si="2"/>
        <v>529</v>
      </c>
    </row>
    <row r="38" spans="1:8" ht="13.8" x14ac:dyDescent="0.25">
      <c r="A38" s="14"/>
      <c r="B38" s="29"/>
      <c r="C38" s="29"/>
      <c r="D38" s="29"/>
      <c r="E38" s="29"/>
      <c r="F38" s="29"/>
      <c r="G38" s="29"/>
      <c r="H38" s="29"/>
    </row>
    <row r="39" spans="1:8" ht="14.4" thickBot="1" x14ac:dyDescent="0.3">
      <c r="A39" s="15" t="s">
        <v>28</v>
      </c>
      <c r="B39" s="49"/>
      <c r="C39" s="49"/>
      <c r="D39" s="49"/>
      <c r="E39" s="49"/>
      <c r="F39" s="49"/>
      <c r="G39" s="49"/>
      <c r="H39" s="49"/>
    </row>
    <row r="40" spans="1:8" ht="13.8" x14ac:dyDescent="0.25">
      <c r="A40" s="7" t="s">
        <v>64</v>
      </c>
      <c r="B40" s="26">
        <v>65</v>
      </c>
      <c r="C40" s="27">
        <v>1</v>
      </c>
      <c r="D40" s="26">
        <v>4</v>
      </c>
      <c r="E40" s="27"/>
      <c r="F40" s="26"/>
      <c r="G40" s="50"/>
      <c r="H40" s="51">
        <v>1</v>
      </c>
    </row>
    <row r="41" spans="1:8" ht="14.4" thickBot="1" x14ac:dyDescent="0.3">
      <c r="A41" s="12" t="s">
        <v>27</v>
      </c>
      <c r="B41" s="60">
        <v>67552</v>
      </c>
      <c r="C41" s="37">
        <v>14</v>
      </c>
      <c r="D41" s="36">
        <v>11</v>
      </c>
      <c r="E41" s="37">
        <v>6</v>
      </c>
      <c r="F41" s="36"/>
      <c r="G41" s="38"/>
      <c r="H41" s="52">
        <v>61</v>
      </c>
    </row>
    <row r="42" spans="1:8" ht="14.4" thickBot="1" x14ac:dyDescent="0.3">
      <c r="A42" s="13" t="s">
        <v>21</v>
      </c>
      <c r="B42" s="54">
        <f t="shared" ref="B42:H42" si="3">SUM(B40:B41)</f>
        <v>67617</v>
      </c>
      <c r="C42" s="45">
        <f t="shared" si="3"/>
        <v>15</v>
      </c>
      <c r="D42" s="17">
        <f t="shared" si="3"/>
        <v>15</v>
      </c>
      <c r="E42" s="45">
        <f t="shared" si="3"/>
        <v>6</v>
      </c>
      <c r="F42" s="17">
        <f t="shared" si="3"/>
        <v>0</v>
      </c>
      <c r="G42" s="46">
        <f t="shared" si="3"/>
        <v>0</v>
      </c>
      <c r="H42" s="56">
        <f t="shared" si="3"/>
        <v>62</v>
      </c>
    </row>
    <row r="43" spans="1:8" ht="13.8" thickBot="1" x14ac:dyDescent="0.3"/>
    <row r="44" spans="1:8" ht="14.4" thickBot="1" x14ac:dyDescent="0.3">
      <c r="A44" s="61" t="s">
        <v>65</v>
      </c>
      <c r="B44" s="62">
        <v>155552</v>
      </c>
      <c r="C44" s="63">
        <v>87</v>
      </c>
      <c r="D44" s="63">
        <v>147</v>
      </c>
      <c r="E44" s="63">
        <v>64</v>
      </c>
      <c r="F44" s="63">
        <v>16</v>
      </c>
      <c r="G44" s="63">
        <v>12</v>
      </c>
      <c r="H44" s="56">
        <v>655</v>
      </c>
    </row>
  </sheetData>
  <mergeCells count="8">
    <mergeCell ref="A1:F1"/>
    <mergeCell ref="G1:H1"/>
    <mergeCell ref="A3:A4"/>
    <mergeCell ref="B3:B4"/>
    <mergeCell ref="C3:C4"/>
    <mergeCell ref="D3:D4"/>
    <mergeCell ref="E3:E4"/>
    <mergeCell ref="G3:H3"/>
  </mergeCells>
  <pageMargins left="0.39370078740157483" right="0.39370078740157483" top="0.19685039370078741" bottom="0.19685039370078741" header="0.51181102362204722" footer="0.51181102362204722"/>
  <pageSetup paperSize="9" scale="7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4EC8-8B39-4BCC-B178-72E2B9252651}">
  <dimension ref="A1:AE4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4" sqref="B24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123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265</v>
      </c>
      <c r="C6" s="97">
        <v>106</v>
      </c>
      <c r="D6" s="97">
        <v>248</v>
      </c>
      <c r="E6" s="137">
        <v>111</v>
      </c>
      <c r="F6" s="97">
        <v>122</v>
      </c>
      <c r="G6" s="98">
        <f>SUM(B6:F6)</f>
        <v>852</v>
      </c>
      <c r="H6" s="97">
        <v>2</v>
      </c>
      <c r="I6" s="97">
        <v>0</v>
      </c>
      <c r="J6" s="97">
        <v>4</v>
      </c>
      <c r="K6" s="97">
        <v>0</v>
      </c>
      <c r="L6" s="97">
        <v>0</v>
      </c>
      <c r="M6" s="97">
        <f>SUM(H6:L6)</f>
        <v>6</v>
      </c>
      <c r="N6" s="99">
        <f>M6*100/$G6</f>
        <v>0.70422535211267601</v>
      </c>
      <c r="O6" s="97">
        <v>6</v>
      </c>
      <c r="P6" s="97">
        <v>3</v>
      </c>
      <c r="Q6" s="97">
        <v>3</v>
      </c>
      <c r="R6" s="97">
        <v>1</v>
      </c>
      <c r="S6" s="97">
        <v>0</v>
      </c>
      <c r="T6" s="101">
        <f t="shared" ref="T6:T11" si="0">SUM(O6:S6)</f>
        <v>13</v>
      </c>
      <c r="U6" s="99">
        <f>T6*100/$G6</f>
        <v>1.5258215962441315</v>
      </c>
      <c r="V6" s="97">
        <v>1</v>
      </c>
      <c r="W6" s="97">
        <v>0</v>
      </c>
      <c r="X6" s="97">
        <v>0</v>
      </c>
      <c r="Y6" s="97">
        <v>1</v>
      </c>
      <c r="Z6" s="97">
        <v>4</v>
      </c>
      <c r="AA6" s="101">
        <f t="shared" ref="AA6:AA11" si="1">SUM(V6:Z6)</f>
        <v>6</v>
      </c>
      <c r="AB6" s="99">
        <f>AA6*100/$G6</f>
        <v>0.70422535211267601</v>
      </c>
      <c r="AC6" s="101"/>
      <c r="AD6" s="101">
        <v>5</v>
      </c>
      <c r="AE6" s="101">
        <v>41</v>
      </c>
    </row>
    <row r="7" spans="1:31" ht="14.4" thickBot="1" x14ac:dyDescent="0.3">
      <c r="A7" s="90" t="s">
        <v>2</v>
      </c>
      <c r="B7" s="97">
        <v>1597</v>
      </c>
      <c r="C7" s="97">
        <v>400</v>
      </c>
      <c r="D7" s="97">
        <v>1621</v>
      </c>
      <c r="E7" s="137">
        <v>907</v>
      </c>
      <c r="F7" s="97">
        <v>619</v>
      </c>
      <c r="G7" s="98">
        <f>SUM(B7:F7)</f>
        <v>5144</v>
      </c>
      <c r="H7" s="97">
        <v>8</v>
      </c>
      <c r="I7" s="97">
        <v>3</v>
      </c>
      <c r="J7" s="97">
        <v>10</v>
      </c>
      <c r="K7" s="97">
        <v>10</v>
      </c>
      <c r="L7" s="97">
        <v>1</v>
      </c>
      <c r="M7" s="97">
        <f t="shared" ref="M7:M11" si="2">SUM(H7:L7)</f>
        <v>32</v>
      </c>
      <c r="N7" s="99">
        <f t="shared" ref="N7:N11" si="3">M7*100/$G7</f>
        <v>0.62208398133748055</v>
      </c>
      <c r="O7" s="97">
        <v>21</v>
      </c>
      <c r="P7" s="97">
        <v>3</v>
      </c>
      <c r="Q7" s="97">
        <v>33</v>
      </c>
      <c r="R7" s="97">
        <v>28</v>
      </c>
      <c r="S7" s="97">
        <v>7</v>
      </c>
      <c r="T7" s="97">
        <f t="shared" si="0"/>
        <v>92</v>
      </c>
      <c r="U7" s="99">
        <f t="shared" ref="U7:U11" si="4">T7*100/$G7</f>
        <v>1.7884914463452566</v>
      </c>
      <c r="V7" s="97">
        <v>12</v>
      </c>
      <c r="W7" s="97">
        <v>2</v>
      </c>
      <c r="X7" s="97">
        <v>2</v>
      </c>
      <c r="Y7" s="97">
        <v>17</v>
      </c>
      <c r="Z7" s="97">
        <v>9</v>
      </c>
      <c r="AA7" s="97">
        <f t="shared" si="1"/>
        <v>42</v>
      </c>
      <c r="AB7" s="99">
        <f t="shared" ref="AB7:AB11" si="5">AA7*100/$G7</f>
        <v>0.81648522550544322</v>
      </c>
      <c r="AC7" s="101"/>
      <c r="AD7" s="101">
        <v>6</v>
      </c>
      <c r="AE7" s="101">
        <v>221</v>
      </c>
    </row>
    <row r="8" spans="1:31" ht="14.4" thickBot="1" x14ac:dyDescent="0.3">
      <c r="A8" s="90" t="s">
        <v>14</v>
      </c>
      <c r="B8" s="97">
        <v>163</v>
      </c>
      <c r="C8" s="97">
        <v>122</v>
      </c>
      <c r="D8" s="97">
        <v>269</v>
      </c>
      <c r="E8" s="137">
        <v>181</v>
      </c>
      <c r="F8" s="97">
        <v>67</v>
      </c>
      <c r="G8" s="98">
        <f>SUM(B8:F8)</f>
        <v>802</v>
      </c>
      <c r="H8" s="97">
        <v>0</v>
      </c>
      <c r="I8" s="97">
        <v>0</v>
      </c>
      <c r="J8" s="97">
        <v>3</v>
      </c>
      <c r="K8" s="97">
        <v>1</v>
      </c>
      <c r="L8" s="97">
        <v>0</v>
      </c>
      <c r="M8" s="101">
        <f t="shared" si="2"/>
        <v>4</v>
      </c>
      <c r="N8" s="99">
        <f t="shared" si="3"/>
        <v>0.49875311720698257</v>
      </c>
      <c r="O8" s="97">
        <v>2</v>
      </c>
      <c r="P8" s="97">
        <v>0</v>
      </c>
      <c r="Q8" s="97">
        <v>8</v>
      </c>
      <c r="R8" s="97">
        <v>2</v>
      </c>
      <c r="S8" s="97">
        <v>2</v>
      </c>
      <c r="T8" s="101">
        <f t="shared" si="0"/>
        <v>14</v>
      </c>
      <c r="U8" s="99">
        <f t="shared" si="4"/>
        <v>1.745635910224439</v>
      </c>
      <c r="V8" s="97">
        <v>0</v>
      </c>
      <c r="W8" s="97">
        <v>0</v>
      </c>
      <c r="X8" s="97">
        <v>0</v>
      </c>
      <c r="Y8" s="97">
        <v>2</v>
      </c>
      <c r="Z8" s="97">
        <v>0</v>
      </c>
      <c r="AA8" s="101">
        <f t="shared" si="1"/>
        <v>2</v>
      </c>
      <c r="AB8" s="99">
        <f t="shared" si="5"/>
        <v>0.24937655860349128</v>
      </c>
      <c r="AC8" s="101"/>
      <c r="AD8" s="101">
        <v>1</v>
      </c>
      <c r="AE8" s="101">
        <v>26</v>
      </c>
    </row>
    <row r="9" spans="1:31" ht="14.4" thickBot="1" x14ac:dyDescent="0.3">
      <c r="A9" s="90" t="s">
        <v>3</v>
      </c>
      <c r="B9" s="97">
        <v>241</v>
      </c>
      <c r="C9" s="97">
        <v>101</v>
      </c>
      <c r="D9" s="97">
        <v>372</v>
      </c>
      <c r="E9" s="137">
        <v>270</v>
      </c>
      <c r="F9" s="97">
        <v>107</v>
      </c>
      <c r="G9" s="98">
        <f>SUM(B9:F9)</f>
        <v>1091</v>
      </c>
      <c r="H9" s="97">
        <v>0</v>
      </c>
      <c r="I9" s="97">
        <v>0</v>
      </c>
      <c r="J9" s="97">
        <v>2</v>
      </c>
      <c r="K9" s="97">
        <v>1</v>
      </c>
      <c r="L9" s="97">
        <v>0</v>
      </c>
      <c r="M9" s="97">
        <f t="shared" si="2"/>
        <v>3</v>
      </c>
      <c r="N9" s="99">
        <f t="shared" si="3"/>
        <v>0.27497708524289644</v>
      </c>
      <c r="O9" s="97">
        <v>4</v>
      </c>
      <c r="P9" s="97">
        <v>0</v>
      </c>
      <c r="Q9" s="97">
        <v>4</v>
      </c>
      <c r="R9" s="97">
        <v>3</v>
      </c>
      <c r="S9" s="97">
        <v>0</v>
      </c>
      <c r="T9" s="97">
        <f t="shared" si="0"/>
        <v>11</v>
      </c>
      <c r="U9" s="99">
        <f t="shared" si="4"/>
        <v>1.0082493125572869</v>
      </c>
      <c r="V9" s="97">
        <v>2</v>
      </c>
      <c r="W9" s="97">
        <v>0</v>
      </c>
      <c r="X9" s="97">
        <v>3</v>
      </c>
      <c r="Y9" s="97">
        <v>14</v>
      </c>
      <c r="Z9" s="97">
        <v>0</v>
      </c>
      <c r="AA9" s="97">
        <f t="shared" si="1"/>
        <v>19</v>
      </c>
      <c r="AB9" s="99">
        <f t="shared" si="5"/>
        <v>1.7415215398716775</v>
      </c>
      <c r="AC9" s="101"/>
      <c r="AD9" s="101">
        <v>0</v>
      </c>
      <c r="AE9" s="101">
        <v>30</v>
      </c>
    </row>
    <row r="10" spans="1:31" ht="23.4" thickBot="1" x14ac:dyDescent="0.3">
      <c r="A10" s="139" t="s">
        <v>23</v>
      </c>
      <c r="B10" s="97">
        <v>1104</v>
      </c>
      <c r="C10" s="97">
        <v>253</v>
      </c>
      <c r="D10" s="97">
        <v>1071</v>
      </c>
      <c r="E10" s="137">
        <v>477</v>
      </c>
      <c r="F10" s="97">
        <v>303</v>
      </c>
      <c r="G10" s="98">
        <f>SUM(B10:F10)</f>
        <v>3208</v>
      </c>
      <c r="H10" s="97">
        <v>2</v>
      </c>
      <c r="I10" s="97">
        <v>2</v>
      </c>
      <c r="J10" s="97">
        <v>5</v>
      </c>
      <c r="K10" s="97">
        <v>8</v>
      </c>
      <c r="L10" s="97">
        <v>0</v>
      </c>
      <c r="M10" s="97">
        <f t="shared" si="2"/>
        <v>17</v>
      </c>
      <c r="N10" s="99">
        <f t="shared" si="3"/>
        <v>0.52992518703241898</v>
      </c>
      <c r="O10" s="97">
        <v>14</v>
      </c>
      <c r="P10" s="97">
        <v>3</v>
      </c>
      <c r="Q10" s="97">
        <v>12</v>
      </c>
      <c r="R10" s="97">
        <v>11</v>
      </c>
      <c r="S10" s="97">
        <v>4</v>
      </c>
      <c r="T10" s="97">
        <f t="shared" si="0"/>
        <v>44</v>
      </c>
      <c r="U10" s="99">
        <f t="shared" si="4"/>
        <v>1.3715710723192021</v>
      </c>
      <c r="V10" s="97">
        <v>2</v>
      </c>
      <c r="W10" s="97">
        <v>1</v>
      </c>
      <c r="X10" s="97">
        <v>6</v>
      </c>
      <c r="Y10" s="97">
        <v>10</v>
      </c>
      <c r="Z10" s="97">
        <v>6</v>
      </c>
      <c r="AA10" s="97">
        <f t="shared" si="1"/>
        <v>25</v>
      </c>
      <c r="AB10" s="99">
        <f t="shared" si="5"/>
        <v>0.77930174563591026</v>
      </c>
      <c r="AC10" s="101"/>
      <c r="AD10" s="101">
        <v>13</v>
      </c>
      <c r="AE10" s="101">
        <v>206</v>
      </c>
    </row>
    <row r="11" spans="1:31" s="132" customFormat="1" ht="14.4" thickBot="1" x14ac:dyDescent="0.3">
      <c r="A11" s="124" t="s">
        <v>21</v>
      </c>
      <c r="B11" s="105">
        <f t="shared" ref="B11:L11" si="6">SUM(B6:B10)</f>
        <v>3370</v>
      </c>
      <c r="C11" s="105">
        <f t="shared" si="6"/>
        <v>982</v>
      </c>
      <c r="D11" s="105">
        <f t="shared" si="6"/>
        <v>3581</v>
      </c>
      <c r="E11" s="105">
        <f t="shared" si="6"/>
        <v>1946</v>
      </c>
      <c r="F11" s="105">
        <f t="shared" si="6"/>
        <v>1218</v>
      </c>
      <c r="G11" s="102">
        <f t="shared" si="6"/>
        <v>11097</v>
      </c>
      <c r="H11" s="111">
        <f t="shared" si="6"/>
        <v>12</v>
      </c>
      <c r="I11" s="111">
        <f t="shared" si="6"/>
        <v>5</v>
      </c>
      <c r="J11" s="111">
        <f t="shared" si="6"/>
        <v>24</v>
      </c>
      <c r="K11" s="111">
        <f t="shared" si="6"/>
        <v>20</v>
      </c>
      <c r="L11" s="111">
        <f t="shared" si="6"/>
        <v>1</v>
      </c>
      <c r="M11" s="103">
        <f t="shared" si="2"/>
        <v>62</v>
      </c>
      <c r="N11" s="104">
        <f t="shared" si="3"/>
        <v>0.55870956114265113</v>
      </c>
      <c r="O11" s="111">
        <f t="shared" ref="O11:S11" si="7">SUM(O6:O10)</f>
        <v>47</v>
      </c>
      <c r="P11" s="111">
        <f t="shared" si="7"/>
        <v>9</v>
      </c>
      <c r="Q11" s="111">
        <f t="shared" si="7"/>
        <v>60</v>
      </c>
      <c r="R11" s="111">
        <f t="shared" si="7"/>
        <v>45</v>
      </c>
      <c r="S11" s="111">
        <f t="shared" si="7"/>
        <v>13</v>
      </c>
      <c r="T11" s="103">
        <f t="shared" si="0"/>
        <v>174</v>
      </c>
      <c r="U11" s="104">
        <f t="shared" si="4"/>
        <v>1.5679913490132469</v>
      </c>
      <c r="V11" s="111">
        <f t="shared" ref="V11:Z11" si="8">SUM(V6:V10)</f>
        <v>17</v>
      </c>
      <c r="W11" s="111">
        <f t="shared" si="8"/>
        <v>3</v>
      </c>
      <c r="X11" s="111">
        <f t="shared" si="8"/>
        <v>11</v>
      </c>
      <c r="Y11" s="111">
        <f t="shared" si="8"/>
        <v>44</v>
      </c>
      <c r="Z11" s="111">
        <f t="shared" si="8"/>
        <v>19</v>
      </c>
      <c r="AA11" s="103">
        <f t="shared" si="1"/>
        <v>94</v>
      </c>
      <c r="AB11" s="104">
        <f t="shared" si="5"/>
        <v>0.84707578624853563</v>
      </c>
      <c r="AC11" s="107">
        <f>SUM(AC6:AC10)</f>
        <v>0</v>
      </c>
      <c r="AD11" s="107">
        <f>SUM(AD6:AD10)</f>
        <v>25</v>
      </c>
      <c r="AE11" s="107">
        <f>SUM(AE6:AE10)</f>
        <v>524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24</v>
      </c>
      <c r="C14" s="97">
        <v>7</v>
      </c>
      <c r="D14" s="97">
        <v>27</v>
      </c>
      <c r="E14" s="97">
        <v>16</v>
      </c>
      <c r="F14" s="97">
        <v>15</v>
      </c>
      <c r="G14" s="98">
        <f t="shared" ref="G14:G25" si="9">SUM(B14:F14)</f>
        <v>89</v>
      </c>
      <c r="H14" s="97">
        <v>0</v>
      </c>
      <c r="I14" s="97">
        <v>0</v>
      </c>
      <c r="J14" s="97">
        <v>1</v>
      </c>
      <c r="K14" s="97">
        <v>0</v>
      </c>
      <c r="L14" s="97">
        <v>0</v>
      </c>
      <c r="M14" s="101">
        <f>SUM(H14:L14)</f>
        <v>1</v>
      </c>
      <c r="N14" s="99">
        <f>M14*100/$G14</f>
        <v>1.1235955056179776</v>
      </c>
      <c r="O14" s="97">
        <v>1</v>
      </c>
      <c r="P14" s="97">
        <v>0</v>
      </c>
      <c r="Q14" s="97">
        <v>0</v>
      </c>
      <c r="R14" s="97">
        <v>3</v>
      </c>
      <c r="S14" s="97">
        <v>0</v>
      </c>
      <c r="T14" s="101">
        <f>SUM(O14:S14)</f>
        <v>4</v>
      </c>
      <c r="U14" s="99">
        <f>T14*100/$G14</f>
        <v>4.4943820224719104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>AA14*100/$G14</f>
        <v>0</v>
      </c>
      <c r="AC14" s="101"/>
      <c r="AD14" s="101">
        <v>0</v>
      </c>
      <c r="AE14" s="101">
        <v>5</v>
      </c>
    </row>
    <row r="15" spans="1:31" ht="14.4" thickBot="1" x14ac:dyDescent="0.3">
      <c r="A15" s="89" t="s">
        <v>5</v>
      </c>
      <c r="B15" s="97">
        <v>76</v>
      </c>
      <c r="C15" s="97">
        <v>15</v>
      </c>
      <c r="D15" s="97">
        <v>139</v>
      </c>
      <c r="E15" s="97">
        <v>76</v>
      </c>
      <c r="F15" s="97">
        <v>28</v>
      </c>
      <c r="G15" s="98">
        <f t="shared" si="9"/>
        <v>334</v>
      </c>
      <c r="H15" s="97">
        <v>0</v>
      </c>
      <c r="I15" s="97">
        <v>0</v>
      </c>
      <c r="J15" s="97">
        <v>1</v>
      </c>
      <c r="K15" s="97">
        <v>2</v>
      </c>
      <c r="L15" s="97">
        <v>0</v>
      </c>
      <c r="M15" s="97">
        <f t="shared" ref="M15:M25" si="10">SUM(H15:L15)</f>
        <v>3</v>
      </c>
      <c r="N15" s="99">
        <f t="shared" ref="N15:N25" si="11">M15*100/$G15</f>
        <v>0.89820359281437123</v>
      </c>
      <c r="O15" s="97">
        <v>1</v>
      </c>
      <c r="P15" s="97">
        <v>1</v>
      </c>
      <c r="Q15" s="97">
        <v>2</v>
      </c>
      <c r="R15" s="97">
        <v>0</v>
      </c>
      <c r="S15" s="97">
        <v>0</v>
      </c>
      <c r="T15" s="97">
        <f t="shared" ref="T15:T25" si="12">SUM(O15:S15)</f>
        <v>4</v>
      </c>
      <c r="U15" s="99">
        <f t="shared" ref="U15:U25" si="13">T15*100/$G15</f>
        <v>1.1976047904191616</v>
      </c>
      <c r="V15" s="97">
        <v>1</v>
      </c>
      <c r="W15" s="97">
        <v>0</v>
      </c>
      <c r="X15" s="97">
        <v>3</v>
      </c>
      <c r="Y15" s="97">
        <v>0</v>
      </c>
      <c r="Z15" s="97">
        <v>0</v>
      </c>
      <c r="AA15" s="97">
        <f t="shared" ref="AA15:AA25" si="14">SUM(V15:Z15)</f>
        <v>4</v>
      </c>
      <c r="AB15" s="99">
        <f t="shared" ref="AB15:AB25" si="15">AA15*100/$G15</f>
        <v>1.1976047904191616</v>
      </c>
      <c r="AC15" s="101"/>
      <c r="AD15" s="101">
        <v>0</v>
      </c>
      <c r="AE15" s="101">
        <v>10</v>
      </c>
    </row>
    <row r="16" spans="1:31" ht="14.4" thickBot="1" x14ac:dyDescent="0.3">
      <c r="A16" s="89" t="s">
        <v>6</v>
      </c>
      <c r="B16" s="109">
        <v>50</v>
      </c>
      <c r="C16" s="97">
        <v>35</v>
      </c>
      <c r="D16" s="97">
        <v>60</v>
      </c>
      <c r="E16" s="97">
        <v>48</v>
      </c>
      <c r="F16" s="97">
        <v>39</v>
      </c>
      <c r="G16" s="98">
        <f t="shared" si="9"/>
        <v>232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f t="shared" si="10"/>
        <v>0</v>
      </c>
      <c r="N16" s="99">
        <f t="shared" si="11"/>
        <v>0</v>
      </c>
      <c r="O16" s="97">
        <v>2</v>
      </c>
      <c r="P16" s="97">
        <v>0</v>
      </c>
      <c r="Q16" s="97">
        <v>0</v>
      </c>
      <c r="R16" s="97">
        <v>0</v>
      </c>
      <c r="S16" s="97">
        <v>0</v>
      </c>
      <c r="T16" s="101">
        <f t="shared" si="12"/>
        <v>2</v>
      </c>
      <c r="U16" s="99">
        <f t="shared" si="13"/>
        <v>0.86206896551724133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101">
        <f t="shared" si="14"/>
        <v>0</v>
      </c>
      <c r="AB16" s="99">
        <f t="shared" si="15"/>
        <v>0</v>
      </c>
      <c r="AC16" s="101"/>
      <c r="AD16" s="101">
        <v>0</v>
      </c>
      <c r="AE16" s="101">
        <v>1</v>
      </c>
    </row>
    <row r="17" spans="1:31" ht="14.4" thickBot="1" x14ac:dyDescent="0.3">
      <c r="A17" s="89" t="s">
        <v>7</v>
      </c>
      <c r="B17" s="97">
        <v>29</v>
      </c>
      <c r="C17" s="97">
        <v>14</v>
      </c>
      <c r="D17" s="97">
        <v>41</v>
      </c>
      <c r="E17" s="97">
        <v>28</v>
      </c>
      <c r="F17" s="97">
        <v>18</v>
      </c>
      <c r="G17" s="98">
        <f t="shared" si="9"/>
        <v>130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 t="shared" si="10"/>
        <v>0</v>
      </c>
      <c r="N17" s="99">
        <f t="shared" si="11"/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f t="shared" si="12"/>
        <v>0</v>
      </c>
      <c r="U17" s="99">
        <f t="shared" si="13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f t="shared" si="14"/>
        <v>0</v>
      </c>
      <c r="AB17" s="99">
        <f t="shared" si="15"/>
        <v>0</v>
      </c>
      <c r="AC17" s="101"/>
      <c r="AD17" s="101">
        <v>0</v>
      </c>
      <c r="AE17" s="101">
        <v>0</v>
      </c>
    </row>
    <row r="18" spans="1:31" ht="14.4" thickBot="1" x14ac:dyDescent="0.3">
      <c r="A18" s="89" t="s">
        <v>8</v>
      </c>
      <c r="B18" s="97">
        <v>8</v>
      </c>
      <c r="C18" s="97">
        <v>15</v>
      </c>
      <c r="D18" s="97">
        <v>17</v>
      </c>
      <c r="E18" s="97">
        <v>22</v>
      </c>
      <c r="F18" s="97">
        <v>4</v>
      </c>
      <c r="G18" s="98">
        <f t="shared" si="9"/>
        <v>66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 t="shared" si="10"/>
        <v>0</v>
      </c>
      <c r="N18" s="99">
        <f t="shared" si="11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f t="shared" si="12"/>
        <v>0</v>
      </c>
      <c r="U18" s="99">
        <f t="shared" si="13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 t="shared" si="14"/>
        <v>0</v>
      </c>
      <c r="AB18" s="99">
        <f t="shared" si="15"/>
        <v>0</v>
      </c>
      <c r="AC18" s="101"/>
      <c r="AD18" s="101">
        <v>0</v>
      </c>
      <c r="AE18" s="101">
        <v>1</v>
      </c>
    </row>
    <row r="19" spans="1:31" ht="14.4" thickBot="1" x14ac:dyDescent="0.3">
      <c r="A19" s="89" t="s">
        <v>9</v>
      </c>
      <c r="B19" s="97">
        <v>45</v>
      </c>
      <c r="C19" s="97">
        <v>20</v>
      </c>
      <c r="D19" s="97">
        <v>43</v>
      </c>
      <c r="E19" s="97">
        <v>25</v>
      </c>
      <c r="F19" s="97">
        <v>17</v>
      </c>
      <c r="G19" s="98">
        <f t="shared" si="9"/>
        <v>150</v>
      </c>
      <c r="H19" s="97">
        <v>1</v>
      </c>
      <c r="I19" s="97">
        <v>0</v>
      </c>
      <c r="J19" s="97">
        <v>0</v>
      </c>
      <c r="K19" s="97">
        <v>0</v>
      </c>
      <c r="L19" s="97">
        <v>0</v>
      </c>
      <c r="M19" s="101">
        <f t="shared" si="10"/>
        <v>1</v>
      </c>
      <c r="N19" s="99">
        <f t="shared" si="11"/>
        <v>0.66666666666666663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12"/>
        <v>0</v>
      </c>
      <c r="U19" s="99">
        <f t="shared" si="13"/>
        <v>0</v>
      </c>
      <c r="V19" s="97">
        <v>0</v>
      </c>
      <c r="W19" s="97">
        <v>1</v>
      </c>
      <c r="X19" s="97">
        <v>0</v>
      </c>
      <c r="Y19" s="97">
        <v>0</v>
      </c>
      <c r="Z19" s="97">
        <v>1</v>
      </c>
      <c r="AA19" s="101">
        <f t="shared" si="14"/>
        <v>2</v>
      </c>
      <c r="AB19" s="99">
        <f t="shared" si="15"/>
        <v>1.3333333333333333</v>
      </c>
      <c r="AC19" s="101"/>
      <c r="AD19" s="101">
        <v>0</v>
      </c>
      <c r="AE19" s="101">
        <v>27</v>
      </c>
    </row>
    <row r="20" spans="1:31" ht="14.4" thickBot="1" x14ac:dyDescent="0.3">
      <c r="A20" s="89" t="s">
        <v>10</v>
      </c>
      <c r="B20" s="97">
        <v>14</v>
      </c>
      <c r="C20" s="97">
        <v>9</v>
      </c>
      <c r="D20" s="97">
        <v>12</v>
      </c>
      <c r="E20" s="97">
        <v>17</v>
      </c>
      <c r="F20" s="97">
        <v>4</v>
      </c>
      <c r="G20" s="98">
        <f t="shared" si="9"/>
        <v>56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10"/>
        <v>0</v>
      </c>
      <c r="N20" s="99">
        <f t="shared" si="11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12"/>
        <v>0</v>
      </c>
      <c r="U20" s="99">
        <f t="shared" si="13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14"/>
        <v>0</v>
      </c>
      <c r="AB20" s="99">
        <f t="shared" si="15"/>
        <v>0</v>
      </c>
      <c r="AC20" s="101"/>
      <c r="AD20" s="101">
        <v>0</v>
      </c>
      <c r="AE20" s="101">
        <v>0</v>
      </c>
    </row>
    <row r="21" spans="1:31" ht="14.4" thickBot="1" x14ac:dyDescent="0.3">
      <c r="A21" s="89" t="s">
        <v>11</v>
      </c>
      <c r="B21" s="97">
        <v>33</v>
      </c>
      <c r="C21" s="97">
        <v>8</v>
      </c>
      <c r="D21" s="97">
        <v>64</v>
      </c>
      <c r="E21" s="97">
        <v>46</v>
      </c>
      <c r="F21" s="97">
        <v>36</v>
      </c>
      <c r="G21" s="98">
        <f t="shared" si="9"/>
        <v>187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f t="shared" si="10"/>
        <v>0</v>
      </c>
      <c r="N21" s="99">
        <f t="shared" si="11"/>
        <v>0</v>
      </c>
      <c r="O21" s="97">
        <v>0</v>
      </c>
      <c r="P21" s="97">
        <v>0</v>
      </c>
      <c r="Q21" s="97">
        <v>3</v>
      </c>
      <c r="R21" s="97">
        <v>0</v>
      </c>
      <c r="S21" s="97">
        <v>0</v>
      </c>
      <c r="T21" s="97">
        <f t="shared" si="12"/>
        <v>3</v>
      </c>
      <c r="U21" s="99">
        <f t="shared" si="13"/>
        <v>1.6042780748663101</v>
      </c>
      <c r="V21" s="97">
        <v>0</v>
      </c>
      <c r="W21" s="97">
        <v>0</v>
      </c>
      <c r="X21" s="97">
        <v>0</v>
      </c>
      <c r="Y21" s="97">
        <v>1</v>
      </c>
      <c r="Z21" s="97">
        <v>1</v>
      </c>
      <c r="AA21" s="97">
        <f t="shared" si="14"/>
        <v>2</v>
      </c>
      <c r="AB21" s="99">
        <f t="shared" si="15"/>
        <v>1.0695187165775402</v>
      </c>
      <c r="AC21" s="101"/>
      <c r="AD21" s="101">
        <v>0</v>
      </c>
      <c r="AE21" s="101">
        <v>14</v>
      </c>
    </row>
    <row r="22" spans="1:31" ht="14.4" thickBot="1" x14ac:dyDescent="0.3">
      <c r="A22" s="89" t="s">
        <v>12</v>
      </c>
      <c r="B22" s="97">
        <v>2116</v>
      </c>
      <c r="C22" s="97">
        <v>1187</v>
      </c>
      <c r="D22" s="97">
        <v>3399</v>
      </c>
      <c r="E22" s="97">
        <v>2476</v>
      </c>
      <c r="F22" s="97">
        <v>1480</v>
      </c>
      <c r="G22" s="98">
        <f t="shared" si="9"/>
        <v>10658</v>
      </c>
      <c r="H22" s="97">
        <v>7</v>
      </c>
      <c r="I22" s="97">
        <v>3</v>
      </c>
      <c r="J22" s="97">
        <v>32</v>
      </c>
      <c r="K22" s="97">
        <v>8</v>
      </c>
      <c r="L22" s="97">
        <v>6</v>
      </c>
      <c r="M22" s="97">
        <f t="shared" si="10"/>
        <v>56</v>
      </c>
      <c r="N22" s="99">
        <f t="shared" si="11"/>
        <v>0.52542690936385816</v>
      </c>
      <c r="O22" s="97">
        <v>13</v>
      </c>
      <c r="P22" s="97">
        <v>4</v>
      </c>
      <c r="Q22" s="97">
        <v>36</v>
      </c>
      <c r="R22" s="97">
        <v>36</v>
      </c>
      <c r="S22" s="97">
        <v>9</v>
      </c>
      <c r="T22" s="97">
        <f t="shared" si="12"/>
        <v>98</v>
      </c>
      <c r="U22" s="99">
        <f t="shared" si="13"/>
        <v>0.91949709138675173</v>
      </c>
      <c r="V22" s="97">
        <v>6</v>
      </c>
      <c r="W22" s="97">
        <v>1</v>
      </c>
      <c r="X22" s="97">
        <v>76</v>
      </c>
      <c r="Y22" s="97">
        <v>35</v>
      </c>
      <c r="Z22" s="97">
        <v>30</v>
      </c>
      <c r="AA22" s="97">
        <f t="shared" si="14"/>
        <v>148</v>
      </c>
      <c r="AB22" s="99">
        <f t="shared" si="15"/>
        <v>1.3886282604616251</v>
      </c>
      <c r="AC22" s="101"/>
      <c r="AD22" s="101">
        <v>18</v>
      </c>
      <c r="AE22" s="101">
        <v>323</v>
      </c>
    </row>
    <row r="23" spans="1:31" ht="14.4" thickBot="1" x14ac:dyDescent="0.3">
      <c r="A23" s="89" t="s">
        <v>13</v>
      </c>
      <c r="B23" s="97">
        <v>4</v>
      </c>
      <c r="C23" s="97">
        <v>16</v>
      </c>
      <c r="D23" s="97">
        <v>0</v>
      </c>
      <c r="E23" s="97">
        <v>21</v>
      </c>
      <c r="F23" s="97">
        <v>13</v>
      </c>
      <c r="G23" s="98">
        <f t="shared" si="9"/>
        <v>54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 t="shared" si="10"/>
        <v>0</v>
      </c>
      <c r="N23" s="99">
        <f t="shared" si="11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f t="shared" si="12"/>
        <v>1</v>
      </c>
      <c r="U23" s="99">
        <f t="shared" si="13"/>
        <v>1.8518518518518519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 t="shared" si="14"/>
        <v>0</v>
      </c>
      <c r="AB23" s="99">
        <f t="shared" si="15"/>
        <v>0</v>
      </c>
      <c r="AC23" s="101"/>
      <c r="AD23" s="101">
        <v>0</v>
      </c>
      <c r="AE23" s="101">
        <v>0</v>
      </c>
    </row>
    <row r="24" spans="1:31" ht="23.4" thickBot="1" x14ac:dyDescent="0.3">
      <c r="A24" s="139" t="s">
        <v>23</v>
      </c>
      <c r="B24" s="110">
        <v>72</v>
      </c>
      <c r="C24" s="110">
        <v>0</v>
      </c>
      <c r="D24" s="97">
        <v>0</v>
      </c>
      <c r="E24" s="110">
        <v>0</v>
      </c>
      <c r="F24" s="97">
        <v>0</v>
      </c>
      <c r="G24" s="98">
        <f t="shared" si="9"/>
        <v>72</v>
      </c>
      <c r="H24" s="110">
        <v>0</v>
      </c>
      <c r="I24" s="97">
        <v>0</v>
      </c>
      <c r="J24" s="97">
        <v>0</v>
      </c>
      <c r="K24" s="97">
        <v>0</v>
      </c>
      <c r="L24" s="97">
        <v>0</v>
      </c>
      <c r="M24" s="97">
        <f t="shared" si="10"/>
        <v>0</v>
      </c>
      <c r="N24" s="99">
        <f t="shared" si="11"/>
        <v>0</v>
      </c>
      <c r="O24" s="110">
        <v>0</v>
      </c>
      <c r="P24" s="97">
        <v>0</v>
      </c>
      <c r="Q24" s="97">
        <v>0</v>
      </c>
      <c r="R24" s="97">
        <v>0</v>
      </c>
      <c r="S24" s="97">
        <v>0</v>
      </c>
      <c r="T24" s="97">
        <f t="shared" si="12"/>
        <v>0</v>
      </c>
      <c r="U24" s="99">
        <f t="shared" si="13"/>
        <v>0</v>
      </c>
      <c r="V24" s="110">
        <v>0</v>
      </c>
      <c r="W24" s="97">
        <v>0</v>
      </c>
      <c r="X24" s="97">
        <v>0</v>
      </c>
      <c r="Y24" s="97">
        <v>0</v>
      </c>
      <c r="Z24" s="97">
        <v>0</v>
      </c>
      <c r="AA24" s="97">
        <f t="shared" si="14"/>
        <v>0</v>
      </c>
      <c r="AB24" s="99">
        <f t="shared" si="15"/>
        <v>0</v>
      </c>
      <c r="AC24" s="101"/>
      <c r="AD24" s="101">
        <v>0</v>
      </c>
      <c r="AE24" s="101">
        <v>0</v>
      </c>
    </row>
    <row r="25" spans="1:31" s="132" customFormat="1" ht="14.4" thickBot="1" x14ac:dyDescent="0.3">
      <c r="A25" s="128" t="s">
        <v>22</v>
      </c>
      <c r="B25" s="111">
        <f>SUM(B14:B24)</f>
        <v>2471</v>
      </c>
      <c r="C25" s="111">
        <f>SUM(C14:C24)</f>
        <v>1326</v>
      </c>
      <c r="D25" s="111">
        <f>SUM(D14:D24)</f>
        <v>3802</v>
      </c>
      <c r="E25" s="111">
        <f>SUM(E14:E24)</f>
        <v>2775</v>
      </c>
      <c r="F25" s="111">
        <f>SUM(F14:F24)</f>
        <v>1654</v>
      </c>
      <c r="G25" s="102">
        <f t="shared" si="9"/>
        <v>12028</v>
      </c>
      <c r="H25" s="111">
        <f>SUM(H14:H24)</f>
        <v>8</v>
      </c>
      <c r="I25" s="111">
        <f>SUM(I14:I24)</f>
        <v>3</v>
      </c>
      <c r="J25" s="111">
        <f>SUM(J14:J24)</f>
        <v>34</v>
      </c>
      <c r="K25" s="111">
        <f>SUM(K14:K24)</f>
        <v>10</v>
      </c>
      <c r="L25" s="111">
        <f>SUM(L14:L24)</f>
        <v>6</v>
      </c>
      <c r="M25" s="103">
        <f t="shared" si="10"/>
        <v>61</v>
      </c>
      <c r="N25" s="104">
        <f t="shared" si="11"/>
        <v>0.50714998337213169</v>
      </c>
      <c r="O25" s="111">
        <f>SUM(O14:O24)</f>
        <v>18</v>
      </c>
      <c r="P25" s="111">
        <f>SUM(P14:P24)</f>
        <v>5</v>
      </c>
      <c r="Q25" s="111">
        <f>SUM(Q14:Q24)</f>
        <v>41</v>
      </c>
      <c r="R25" s="111">
        <f>SUM(R14:R24)</f>
        <v>39</v>
      </c>
      <c r="S25" s="111">
        <f>SUM(S14:S24)</f>
        <v>9</v>
      </c>
      <c r="T25" s="103">
        <f t="shared" si="12"/>
        <v>112</v>
      </c>
      <c r="U25" s="104">
        <f t="shared" si="13"/>
        <v>0.93116062520784837</v>
      </c>
      <c r="V25" s="111">
        <f>SUM(V14:V24)</f>
        <v>7</v>
      </c>
      <c r="W25" s="111">
        <f>SUM(W14:W24)</f>
        <v>2</v>
      </c>
      <c r="X25" s="111">
        <f>SUM(X14:X24)</f>
        <v>79</v>
      </c>
      <c r="Y25" s="111">
        <f>SUM(Y14:Y24)</f>
        <v>36</v>
      </c>
      <c r="Z25" s="111">
        <f>SUM(Z14:Z24)</f>
        <v>32</v>
      </c>
      <c r="AA25" s="103">
        <f t="shared" si="14"/>
        <v>156</v>
      </c>
      <c r="AB25" s="104">
        <f t="shared" si="15"/>
        <v>1.2969737279680744</v>
      </c>
      <c r="AC25" s="107">
        <f>SUM(AC14:AC24)</f>
        <v>0</v>
      </c>
      <c r="AD25" s="107">
        <f t="shared" ref="AD25:AE25" si="16">SUM(AD14:AD24)</f>
        <v>18</v>
      </c>
      <c r="AE25" s="107">
        <f t="shared" si="16"/>
        <v>381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2389</v>
      </c>
      <c r="C28" s="97">
        <v>1632</v>
      </c>
      <c r="D28" s="97">
        <v>2545</v>
      </c>
      <c r="E28" s="97">
        <v>2009</v>
      </c>
      <c r="F28" s="97">
        <v>1965</v>
      </c>
      <c r="G28" s="98">
        <f t="shared" ref="G28:G36" si="17">SUM(B28:F28)</f>
        <v>10540</v>
      </c>
      <c r="H28" s="97">
        <v>2</v>
      </c>
      <c r="I28" s="97">
        <v>0</v>
      </c>
      <c r="J28" s="97">
        <v>7</v>
      </c>
      <c r="K28" s="97">
        <v>1</v>
      </c>
      <c r="L28" s="97">
        <v>2</v>
      </c>
      <c r="M28" s="97">
        <f>SUM(H28:L28)</f>
        <v>12</v>
      </c>
      <c r="N28" s="99">
        <f>M28*100/$G28</f>
        <v>0.11385199240986717</v>
      </c>
      <c r="O28" s="97">
        <v>6</v>
      </c>
      <c r="P28" s="97">
        <v>1</v>
      </c>
      <c r="Q28" s="97">
        <v>5</v>
      </c>
      <c r="R28" s="97">
        <v>7</v>
      </c>
      <c r="S28" s="97">
        <v>3</v>
      </c>
      <c r="T28" s="97">
        <f>SUM(O28:S28)</f>
        <v>22</v>
      </c>
      <c r="U28" s="99">
        <f>T28*100/$G28</f>
        <v>0.20872865275142316</v>
      </c>
      <c r="V28" s="97">
        <v>2</v>
      </c>
      <c r="W28" s="97">
        <v>0</v>
      </c>
      <c r="X28" s="97">
        <v>3</v>
      </c>
      <c r="Y28" s="97">
        <v>7</v>
      </c>
      <c r="Z28" s="97">
        <v>1</v>
      </c>
      <c r="AA28" s="97">
        <f>SUM(V28:Z28)</f>
        <v>13</v>
      </c>
      <c r="AB28" s="99">
        <f>AA28*100/$G28</f>
        <v>0.12333965844402277</v>
      </c>
      <c r="AC28" s="101">
        <v>4</v>
      </c>
      <c r="AD28" s="101">
        <v>3</v>
      </c>
      <c r="AE28" s="101">
        <v>157</v>
      </c>
    </row>
    <row r="29" spans="1:31" ht="14.4" thickBot="1" x14ac:dyDescent="0.3">
      <c r="A29" s="89" t="s">
        <v>16</v>
      </c>
      <c r="B29" s="97">
        <v>1002</v>
      </c>
      <c r="C29" s="97">
        <v>639</v>
      </c>
      <c r="D29" s="97">
        <v>1667</v>
      </c>
      <c r="E29" s="97">
        <v>1211</v>
      </c>
      <c r="F29" s="97">
        <v>503</v>
      </c>
      <c r="G29" s="98">
        <f t="shared" si="17"/>
        <v>5022</v>
      </c>
      <c r="H29" s="97">
        <v>2</v>
      </c>
      <c r="I29" s="97">
        <v>1</v>
      </c>
      <c r="J29" s="97">
        <v>11</v>
      </c>
      <c r="K29" s="97">
        <v>5</v>
      </c>
      <c r="L29" s="97">
        <v>2</v>
      </c>
      <c r="M29" s="97">
        <f>SUM(H29:L29)</f>
        <v>21</v>
      </c>
      <c r="N29" s="99">
        <f t="shared" ref="N29:N38" si="18">M29*100/$G29</f>
        <v>0.41816009557945044</v>
      </c>
      <c r="O29" s="97">
        <v>7</v>
      </c>
      <c r="P29" s="97">
        <v>4</v>
      </c>
      <c r="Q29" s="97">
        <v>8</v>
      </c>
      <c r="R29" s="97">
        <v>19</v>
      </c>
      <c r="S29" s="97">
        <v>7</v>
      </c>
      <c r="T29" s="97">
        <f>SUM(O29:S29)</f>
        <v>45</v>
      </c>
      <c r="U29" s="99">
        <f t="shared" ref="U29:U38" si="19">T29*100/$G29</f>
        <v>0.89605734767025091</v>
      </c>
      <c r="V29" s="97">
        <v>10</v>
      </c>
      <c r="W29" s="97">
        <v>0</v>
      </c>
      <c r="X29" s="97">
        <v>5</v>
      </c>
      <c r="Y29" s="97">
        <v>16</v>
      </c>
      <c r="Z29" s="97">
        <v>10</v>
      </c>
      <c r="AA29" s="97">
        <f>SUM(V29:Z29)</f>
        <v>41</v>
      </c>
      <c r="AB29" s="99">
        <f t="shared" ref="AB29:AB38" si="20">AA29*100/$G29</f>
        <v>0.8164078056551175</v>
      </c>
      <c r="AC29" s="101">
        <v>7</v>
      </c>
      <c r="AD29" s="101">
        <v>2</v>
      </c>
      <c r="AE29" s="101">
        <v>171</v>
      </c>
    </row>
    <row r="30" spans="1:31" ht="14.4" thickBot="1" x14ac:dyDescent="0.3">
      <c r="A30" s="89" t="s">
        <v>34</v>
      </c>
      <c r="B30" s="97">
        <v>873</v>
      </c>
      <c r="C30" s="97">
        <v>484</v>
      </c>
      <c r="D30" s="97">
        <v>853</v>
      </c>
      <c r="E30" s="97">
        <v>630</v>
      </c>
      <c r="F30" s="97">
        <v>985</v>
      </c>
      <c r="G30" s="98">
        <f t="shared" si="17"/>
        <v>3825</v>
      </c>
      <c r="H30" s="97">
        <v>0</v>
      </c>
      <c r="I30" s="97">
        <v>0</v>
      </c>
      <c r="J30" s="97">
        <v>1</v>
      </c>
      <c r="K30" s="97">
        <v>5</v>
      </c>
      <c r="L30" s="97">
        <v>3</v>
      </c>
      <c r="M30" s="97">
        <f t="shared" ref="M30:M38" si="21">SUM(H30:L30)</f>
        <v>9</v>
      </c>
      <c r="N30" s="99">
        <f t="shared" si="18"/>
        <v>0.23529411764705882</v>
      </c>
      <c r="O30" s="97">
        <v>5</v>
      </c>
      <c r="P30" s="97">
        <v>2</v>
      </c>
      <c r="Q30" s="97">
        <v>5</v>
      </c>
      <c r="R30" s="97">
        <v>3</v>
      </c>
      <c r="S30" s="97">
        <v>1</v>
      </c>
      <c r="T30" s="97">
        <f t="shared" ref="T30:T38" si="22">SUM(O30:S30)</f>
        <v>16</v>
      </c>
      <c r="U30" s="99">
        <f t="shared" si="19"/>
        <v>0.41830065359477125</v>
      </c>
      <c r="V30" s="97">
        <v>3</v>
      </c>
      <c r="W30" s="97">
        <v>0</v>
      </c>
      <c r="X30" s="97">
        <v>5</v>
      </c>
      <c r="Y30" s="97">
        <v>4</v>
      </c>
      <c r="Z30" s="97">
        <v>2</v>
      </c>
      <c r="AA30" s="97">
        <f t="shared" ref="AA30:AA38" si="23">SUM(V30:Z30)</f>
        <v>14</v>
      </c>
      <c r="AB30" s="99">
        <f t="shared" si="20"/>
        <v>0.36601307189542481</v>
      </c>
      <c r="AC30" s="101">
        <v>2</v>
      </c>
      <c r="AD30" s="101">
        <v>0</v>
      </c>
      <c r="AE30" s="101">
        <v>71</v>
      </c>
    </row>
    <row r="31" spans="1:31" ht="14.4" thickBot="1" x14ac:dyDescent="0.3">
      <c r="A31" s="89" t="s">
        <v>17</v>
      </c>
      <c r="B31" s="97">
        <v>4871</v>
      </c>
      <c r="C31" s="97">
        <v>3134</v>
      </c>
      <c r="D31" s="97">
        <v>6497</v>
      </c>
      <c r="E31" s="97">
        <v>4517</v>
      </c>
      <c r="F31" s="97">
        <v>3201</v>
      </c>
      <c r="G31" s="98">
        <f t="shared" si="17"/>
        <v>22220</v>
      </c>
      <c r="H31" s="97">
        <v>7</v>
      </c>
      <c r="I31" s="97">
        <v>6</v>
      </c>
      <c r="J31" s="97">
        <v>3</v>
      </c>
      <c r="K31" s="97">
        <v>6</v>
      </c>
      <c r="L31" s="97">
        <v>3</v>
      </c>
      <c r="M31" s="97">
        <f t="shared" si="21"/>
        <v>25</v>
      </c>
      <c r="N31" s="99">
        <f t="shared" si="18"/>
        <v>0.11251125112511251</v>
      </c>
      <c r="O31" s="97">
        <v>4</v>
      </c>
      <c r="P31" s="97">
        <v>1</v>
      </c>
      <c r="Q31" s="97">
        <v>6</v>
      </c>
      <c r="R31" s="97">
        <v>9</v>
      </c>
      <c r="S31" s="97">
        <v>1</v>
      </c>
      <c r="T31" s="97">
        <f t="shared" si="22"/>
        <v>21</v>
      </c>
      <c r="U31" s="99">
        <f t="shared" si="19"/>
        <v>9.4509450945094511E-2</v>
      </c>
      <c r="V31" s="97">
        <v>9</v>
      </c>
      <c r="W31" s="97">
        <v>5</v>
      </c>
      <c r="X31" s="97">
        <v>9</v>
      </c>
      <c r="Y31" s="97">
        <v>17</v>
      </c>
      <c r="Z31" s="97">
        <v>7</v>
      </c>
      <c r="AA31" s="97">
        <f t="shared" si="23"/>
        <v>47</v>
      </c>
      <c r="AB31" s="99">
        <f t="shared" si="20"/>
        <v>0.21152115211521152</v>
      </c>
      <c r="AC31" s="101">
        <v>5</v>
      </c>
      <c r="AD31" s="101">
        <v>6</v>
      </c>
      <c r="AE31" s="101">
        <v>246</v>
      </c>
    </row>
    <row r="32" spans="1:31" ht="14.4" thickBot="1" x14ac:dyDescent="0.3">
      <c r="A32" s="89" t="s">
        <v>125</v>
      </c>
      <c r="B32" s="97">
        <v>8665</v>
      </c>
      <c r="C32" s="97">
        <v>7717</v>
      </c>
      <c r="D32" s="97">
        <v>17559</v>
      </c>
      <c r="E32" s="97">
        <v>12966</v>
      </c>
      <c r="F32" s="97">
        <v>9379</v>
      </c>
      <c r="G32" s="98">
        <f t="shared" si="17"/>
        <v>56286</v>
      </c>
      <c r="H32" s="97">
        <v>17</v>
      </c>
      <c r="I32" s="97">
        <v>15</v>
      </c>
      <c r="J32" s="97">
        <v>32</v>
      </c>
      <c r="K32" s="97">
        <v>23</v>
      </c>
      <c r="L32" s="97">
        <v>13</v>
      </c>
      <c r="M32" s="97">
        <f t="shared" si="21"/>
        <v>100</v>
      </c>
      <c r="N32" s="99">
        <f t="shared" si="18"/>
        <v>0.17766407277120422</v>
      </c>
      <c r="O32" s="97">
        <v>35</v>
      </c>
      <c r="P32" s="97">
        <v>20</v>
      </c>
      <c r="Q32" s="97">
        <v>52</v>
      </c>
      <c r="R32" s="97">
        <v>35</v>
      </c>
      <c r="S32" s="97">
        <v>22</v>
      </c>
      <c r="T32" s="97">
        <f t="shared" si="22"/>
        <v>164</v>
      </c>
      <c r="U32" s="99">
        <f t="shared" si="19"/>
        <v>0.29136907934477491</v>
      </c>
      <c r="V32" s="97">
        <v>43</v>
      </c>
      <c r="W32" s="97">
        <v>12</v>
      </c>
      <c r="X32" s="97">
        <v>20</v>
      </c>
      <c r="Y32" s="97">
        <v>93</v>
      </c>
      <c r="Z32" s="97">
        <v>16</v>
      </c>
      <c r="AA32" s="97">
        <f t="shared" si="23"/>
        <v>184</v>
      </c>
      <c r="AB32" s="99">
        <f t="shared" si="20"/>
        <v>0.32690189389901575</v>
      </c>
      <c r="AC32" s="101">
        <v>13</v>
      </c>
      <c r="AD32" s="101">
        <v>7</v>
      </c>
      <c r="AE32" s="101">
        <v>737</v>
      </c>
    </row>
    <row r="33" spans="1:31" ht="14.4" thickBot="1" x14ac:dyDescent="0.3">
      <c r="A33" s="89" t="s">
        <v>18</v>
      </c>
      <c r="B33" s="97">
        <v>1557</v>
      </c>
      <c r="C33" s="97">
        <v>1318</v>
      </c>
      <c r="D33" s="97">
        <v>1827</v>
      </c>
      <c r="E33" s="97">
        <v>1182</v>
      </c>
      <c r="F33" s="97">
        <v>2701</v>
      </c>
      <c r="G33" s="98">
        <f t="shared" si="17"/>
        <v>8585</v>
      </c>
      <c r="H33" s="97">
        <v>3</v>
      </c>
      <c r="I33" s="97">
        <v>3</v>
      </c>
      <c r="J33" s="97">
        <v>5</v>
      </c>
      <c r="K33" s="97">
        <v>2</v>
      </c>
      <c r="L33" s="97">
        <v>4</v>
      </c>
      <c r="M33" s="97">
        <f t="shared" si="21"/>
        <v>17</v>
      </c>
      <c r="N33" s="99">
        <f t="shared" si="18"/>
        <v>0.19801980198019803</v>
      </c>
      <c r="O33" s="97">
        <v>2</v>
      </c>
      <c r="P33" s="97">
        <v>3</v>
      </c>
      <c r="Q33" s="97">
        <v>9</v>
      </c>
      <c r="R33" s="97">
        <v>5</v>
      </c>
      <c r="S33" s="97">
        <v>1</v>
      </c>
      <c r="T33" s="97">
        <f t="shared" si="22"/>
        <v>20</v>
      </c>
      <c r="U33" s="99">
        <f t="shared" si="19"/>
        <v>0.23296447291788003</v>
      </c>
      <c r="V33" s="97">
        <v>3</v>
      </c>
      <c r="W33" s="97">
        <v>1</v>
      </c>
      <c r="X33" s="97">
        <v>3</v>
      </c>
      <c r="Y33" s="97">
        <v>2</v>
      </c>
      <c r="Z33" s="97">
        <v>1</v>
      </c>
      <c r="AA33" s="97">
        <f t="shared" si="23"/>
        <v>10</v>
      </c>
      <c r="AB33" s="99">
        <f t="shared" si="20"/>
        <v>0.11648223645894001</v>
      </c>
      <c r="AC33" s="101">
        <v>5</v>
      </c>
      <c r="AD33" s="101">
        <v>0</v>
      </c>
      <c r="AE33" s="101">
        <v>102</v>
      </c>
    </row>
    <row r="34" spans="1:31" ht="14.4" thickBot="1" x14ac:dyDescent="0.3">
      <c r="A34" s="89" t="s">
        <v>19</v>
      </c>
      <c r="B34" s="97">
        <v>8271</v>
      </c>
      <c r="C34" s="97">
        <v>4400</v>
      </c>
      <c r="D34" s="97">
        <v>10774</v>
      </c>
      <c r="E34" s="97">
        <v>7885</v>
      </c>
      <c r="F34" s="97">
        <v>5598</v>
      </c>
      <c r="G34" s="98">
        <f t="shared" si="17"/>
        <v>36928</v>
      </c>
      <c r="H34" s="97">
        <v>38</v>
      </c>
      <c r="I34" s="97">
        <v>19</v>
      </c>
      <c r="J34" s="97">
        <v>53</v>
      </c>
      <c r="K34" s="97">
        <v>45</v>
      </c>
      <c r="L34" s="97">
        <v>17</v>
      </c>
      <c r="M34" s="97">
        <f t="shared" si="21"/>
        <v>172</v>
      </c>
      <c r="N34" s="99">
        <f t="shared" si="18"/>
        <v>0.46577123050259966</v>
      </c>
      <c r="O34" s="97">
        <v>47</v>
      </c>
      <c r="P34" s="97">
        <v>30</v>
      </c>
      <c r="Q34" s="97">
        <v>94</v>
      </c>
      <c r="R34" s="97">
        <v>85</v>
      </c>
      <c r="S34" s="97">
        <v>22</v>
      </c>
      <c r="T34" s="97">
        <f t="shared" si="22"/>
        <v>278</v>
      </c>
      <c r="U34" s="99">
        <f t="shared" si="19"/>
        <v>0.75281629116117854</v>
      </c>
      <c r="V34" s="97">
        <v>41</v>
      </c>
      <c r="W34" s="97">
        <v>16</v>
      </c>
      <c r="X34" s="97">
        <v>47</v>
      </c>
      <c r="Y34" s="97">
        <v>63</v>
      </c>
      <c r="Z34" s="97">
        <v>26</v>
      </c>
      <c r="AA34" s="97">
        <f t="shared" si="23"/>
        <v>193</v>
      </c>
      <c r="AB34" s="99">
        <f t="shared" si="20"/>
        <v>0.52263864818024264</v>
      </c>
      <c r="AC34" s="101">
        <v>75</v>
      </c>
      <c r="AD34" s="101">
        <v>43</v>
      </c>
      <c r="AE34" s="101">
        <v>740</v>
      </c>
    </row>
    <row r="35" spans="1:31" ht="14.4" thickBot="1" x14ac:dyDescent="0.3">
      <c r="A35" s="89" t="s">
        <v>20</v>
      </c>
      <c r="B35" s="97">
        <v>4124</v>
      </c>
      <c r="C35" s="97">
        <v>2676</v>
      </c>
      <c r="D35" s="97">
        <v>6602</v>
      </c>
      <c r="E35" s="97">
        <v>4619</v>
      </c>
      <c r="F35" s="97">
        <v>2711</v>
      </c>
      <c r="G35" s="98">
        <f t="shared" si="17"/>
        <v>20732</v>
      </c>
      <c r="H35" s="97">
        <v>13</v>
      </c>
      <c r="I35" s="97">
        <v>6</v>
      </c>
      <c r="J35" s="97">
        <v>30</v>
      </c>
      <c r="K35" s="97">
        <v>16</v>
      </c>
      <c r="L35" s="97">
        <v>8</v>
      </c>
      <c r="M35" s="97">
        <f t="shared" si="21"/>
        <v>73</v>
      </c>
      <c r="N35" s="99">
        <f t="shared" si="18"/>
        <v>0.352112676056338</v>
      </c>
      <c r="O35" s="97">
        <v>43</v>
      </c>
      <c r="P35" s="97">
        <v>17</v>
      </c>
      <c r="Q35" s="97">
        <v>41</v>
      </c>
      <c r="R35" s="97">
        <v>30</v>
      </c>
      <c r="S35" s="97">
        <v>9</v>
      </c>
      <c r="T35" s="97">
        <f t="shared" si="22"/>
        <v>140</v>
      </c>
      <c r="U35" s="99">
        <f t="shared" si="19"/>
        <v>0.6752845842176346</v>
      </c>
      <c r="V35" s="97">
        <v>18</v>
      </c>
      <c r="W35" s="97">
        <v>2</v>
      </c>
      <c r="X35" s="97">
        <v>11</v>
      </c>
      <c r="Y35" s="97">
        <v>50</v>
      </c>
      <c r="Z35" s="97">
        <v>3</v>
      </c>
      <c r="AA35" s="97">
        <f t="shared" si="23"/>
        <v>84</v>
      </c>
      <c r="AB35" s="99">
        <f t="shared" si="20"/>
        <v>0.40517075053058077</v>
      </c>
      <c r="AC35" s="101">
        <v>33</v>
      </c>
      <c r="AD35" s="101">
        <v>3</v>
      </c>
      <c r="AE35" s="101">
        <v>373</v>
      </c>
    </row>
    <row r="36" spans="1:31" ht="14.4" thickBot="1" x14ac:dyDescent="0.3">
      <c r="A36" s="89" t="s">
        <v>25</v>
      </c>
      <c r="B36" s="97"/>
      <c r="C36" s="97"/>
      <c r="D36" s="97"/>
      <c r="E36" s="97"/>
      <c r="F36" s="97"/>
      <c r="G36" s="98">
        <f t="shared" si="17"/>
        <v>0</v>
      </c>
      <c r="H36" s="97"/>
      <c r="I36" s="97"/>
      <c r="J36" s="97"/>
      <c r="K36" s="97"/>
      <c r="L36" s="97"/>
      <c r="M36" s="97">
        <f t="shared" si="21"/>
        <v>0</v>
      </c>
      <c r="N36" s="99" t="e">
        <f t="shared" si="18"/>
        <v>#DIV/0!</v>
      </c>
      <c r="O36" s="97"/>
      <c r="P36" s="97"/>
      <c r="Q36" s="97"/>
      <c r="R36" s="97"/>
      <c r="S36" s="97"/>
      <c r="T36" s="97">
        <f t="shared" si="22"/>
        <v>0</v>
      </c>
      <c r="U36" s="99" t="e">
        <f t="shared" si="19"/>
        <v>#DIV/0!</v>
      </c>
      <c r="V36" s="97"/>
      <c r="W36" s="97"/>
      <c r="X36" s="97"/>
      <c r="Y36" s="97"/>
      <c r="Z36" s="97"/>
      <c r="AA36" s="97">
        <f t="shared" si="23"/>
        <v>0</v>
      </c>
      <c r="AB36" s="99" t="e">
        <f t="shared" si="20"/>
        <v>#DIV/0!</v>
      </c>
      <c r="AC36" s="101"/>
      <c r="AD36" s="101"/>
      <c r="AE36" s="101"/>
    </row>
    <row r="37" spans="1:31" ht="14.4" thickBot="1" x14ac:dyDescent="0.3">
      <c r="A37" s="89" t="s">
        <v>26</v>
      </c>
      <c r="B37" s="97">
        <v>24945</v>
      </c>
      <c r="C37" s="97">
        <v>18073</v>
      </c>
      <c r="D37" s="97">
        <v>34493</v>
      </c>
      <c r="E37" s="97">
        <v>23454</v>
      </c>
      <c r="F37" s="97">
        <v>23123</v>
      </c>
      <c r="G37" s="98">
        <f>SUM(B37:F37)</f>
        <v>124088</v>
      </c>
      <c r="H37" s="97">
        <v>27</v>
      </c>
      <c r="I37" s="97">
        <v>13</v>
      </c>
      <c r="J37" s="97">
        <v>70</v>
      </c>
      <c r="K37" s="97">
        <v>60</v>
      </c>
      <c r="L37" s="97">
        <v>11</v>
      </c>
      <c r="M37" s="97">
        <f t="shared" si="21"/>
        <v>181</v>
      </c>
      <c r="N37" s="99">
        <f t="shared" si="18"/>
        <v>0.14586422538843402</v>
      </c>
      <c r="O37" s="97">
        <v>88</v>
      </c>
      <c r="P37" s="97">
        <v>38</v>
      </c>
      <c r="Q37" s="97">
        <v>108</v>
      </c>
      <c r="R37" s="97">
        <v>118</v>
      </c>
      <c r="S37" s="97">
        <v>31</v>
      </c>
      <c r="T37" s="97">
        <f t="shared" si="22"/>
        <v>383</v>
      </c>
      <c r="U37" s="99">
        <f t="shared" si="19"/>
        <v>0.30865192444071948</v>
      </c>
      <c r="V37" s="97">
        <v>86</v>
      </c>
      <c r="W37" s="97">
        <v>20</v>
      </c>
      <c r="X37" s="97">
        <v>120</v>
      </c>
      <c r="Y37" s="97">
        <v>126</v>
      </c>
      <c r="Z37" s="97">
        <v>41</v>
      </c>
      <c r="AA37" s="97">
        <f t="shared" si="23"/>
        <v>393</v>
      </c>
      <c r="AB37" s="99">
        <f t="shared" si="20"/>
        <v>0.31671072142350593</v>
      </c>
      <c r="AC37" s="101">
        <v>32</v>
      </c>
      <c r="AD37" s="101">
        <v>203</v>
      </c>
      <c r="AE37" s="97">
        <v>1411</v>
      </c>
    </row>
    <row r="38" spans="1:31" s="132" customFormat="1" ht="14.4" thickBot="1" x14ac:dyDescent="0.3">
      <c r="A38" s="128" t="s">
        <v>21</v>
      </c>
      <c r="B38" s="111">
        <f>SUM(B28:B37)</f>
        <v>56697</v>
      </c>
      <c r="C38" s="111">
        <f>SUM(C28:C37)</f>
        <v>40073</v>
      </c>
      <c r="D38" s="111">
        <f>SUM(D28:D37)</f>
        <v>82817</v>
      </c>
      <c r="E38" s="111">
        <f>SUM(E28:E37)</f>
        <v>58473</v>
      </c>
      <c r="F38" s="111">
        <f>SUM(F28:F37)</f>
        <v>50166</v>
      </c>
      <c r="G38" s="102">
        <f>SUM(B38:F38)</f>
        <v>288226</v>
      </c>
      <c r="H38" s="111">
        <f>SUM(H28:H37)</f>
        <v>109</v>
      </c>
      <c r="I38" s="111">
        <f>SUM(I28:I37)</f>
        <v>63</v>
      </c>
      <c r="J38" s="111">
        <f>SUM(J28:J37)</f>
        <v>212</v>
      </c>
      <c r="K38" s="111">
        <f>SUM(K28:K37)</f>
        <v>163</v>
      </c>
      <c r="L38" s="111">
        <f>SUM(L28:L37)</f>
        <v>63</v>
      </c>
      <c r="M38" s="103">
        <f t="shared" si="21"/>
        <v>610</v>
      </c>
      <c r="N38" s="104">
        <f t="shared" si="18"/>
        <v>0.21163947735457592</v>
      </c>
      <c r="O38" s="111">
        <f>SUM(O28:O37)</f>
        <v>237</v>
      </c>
      <c r="P38" s="111">
        <f>SUM(P28:P37)</f>
        <v>116</v>
      </c>
      <c r="Q38" s="111">
        <f>SUM(Q28:Q37)</f>
        <v>328</v>
      </c>
      <c r="R38" s="111">
        <f>SUM(R28:R37)</f>
        <v>311</v>
      </c>
      <c r="S38" s="111">
        <f>SUM(S28:S37)</f>
        <v>97</v>
      </c>
      <c r="T38" s="103">
        <f t="shared" si="22"/>
        <v>1089</v>
      </c>
      <c r="U38" s="104">
        <f t="shared" si="19"/>
        <v>0.37782850957234948</v>
      </c>
      <c r="V38" s="111">
        <f>SUM(V28:V37)</f>
        <v>215</v>
      </c>
      <c r="W38" s="111">
        <f>SUM(W28:W37)</f>
        <v>56</v>
      </c>
      <c r="X38" s="111">
        <f>SUM(X28:X37)</f>
        <v>223</v>
      </c>
      <c r="Y38" s="111">
        <f>SUM(Y28:Y37)</f>
        <v>378</v>
      </c>
      <c r="Z38" s="111">
        <f>SUM(Z28:Z37)</f>
        <v>107</v>
      </c>
      <c r="AA38" s="103">
        <f t="shared" si="23"/>
        <v>979</v>
      </c>
      <c r="AB38" s="104">
        <f t="shared" si="20"/>
        <v>0.33966401365595056</v>
      </c>
      <c r="AC38" s="107">
        <f>SUM(AC28:AC37)</f>
        <v>176</v>
      </c>
      <c r="AD38" s="107">
        <f t="shared" ref="AD38:AE38" si="24">SUM(AD28:AD37)</f>
        <v>267</v>
      </c>
      <c r="AE38" s="114">
        <f t="shared" si="24"/>
        <v>4008</v>
      </c>
    </row>
    <row r="39" spans="1:31" ht="13.8" x14ac:dyDescent="0.25">
      <c r="A39" s="129"/>
      <c r="B39" s="130"/>
      <c r="C39" s="130"/>
      <c r="D39" s="130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27"/>
      <c r="AD39" s="127"/>
      <c r="AE39" s="127"/>
    </row>
    <row r="40" spans="1:31" ht="14.4" thickBot="1" x14ac:dyDescent="0.3">
      <c r="A40" s="6" t="s">
        <v>28</v>
      </c>
      <c r="B40" s="113"/>
      <c r="C40" s="113"/>
      <c r="D40" s="113"/>
      <c r="E40" s="113"/>
      <c r="F40" s="113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27"/>
      <c r="AD40" s="127"/>
      <c r="AE40" s="127"/>
    </row>
    <row r="41" spans="1:31" ht="14.4" thickBot="1" x14ac:dyDescent="0.3">
      <c r="A41" s="89" t="s">
        <v>40</v>
      </c>
      <c r="B41" s="97"/>
      <c r="C41" s="97"/>
      <c r="D41" s="97"/>
      <c r="E41" s="97"/>
      <c r="F41" s="97"/>
      <c r="G41" s="98">
        <f>SUM(B41:F41)</f>
        <v>0</v>
      </c>
      <c r="H41" s="97"/>
      <c r="I41" s="97"/>
      <c r="J41" s="97"/>
      <c r="K41" s="97"/>
      <c r="L41" s="120"/>
      <c r="M41" s="97">
        <f>SUM(H41:L41)</f>
        <v>0</v>
      </c>
      <c r="N41" s="99" t="e">
        <f>M41*100/$G41</f>
        <v>#DIV/0!</v>
      </c>
      <c r="O41" s="97"/>
      <c r="P41" s="97"/>
      <c r="Q41" s="97"/>
      <c r="R41" s="97"/>
      <c r="S41" s="120"/>
      <c r="T41" s="97">
        <f>SUM(O41:S41)</f>
        <v>0</v>
      </c>
      <c r="U41" s="99" t="e">
        <f>T41*100/$G41</f>
        <v>#DIV/0!</v>
      </c>
      <c r="V41" s="97"/>
      <c r="W41" s="97"/>
      <c r="X41" s="97"/>
      <c r="Y41" s="97"/>
      <c r="Z41" s="120"/>
      <c r="AA41" s="97">
        <f>SUM(V41:Z41)</f>
        <v>0</v>
      </c>
      <c r="AB41" s="99" t="e">
        <f>AA41*100/$G41</f>
        <v>#DIV/0!</v>
      </c>
      <c r="AC41" s="101"/>
      <c r="AD41" s="101"/>
      <c r="AE41" s="101"/>
    </row>
    <row r="42" spans="1:31" ht="14.4" thickBot="1" x14ac:dyDescent="0.3">
      <c r="A42" s="89" t="s">
        <v>27</v>
      </c>
      <c r="B42" s="97">
        <v>45597</v>
      </c>
      <c r="C42" s="97">
        <v>29697</v>
      </c>
      <c r="D42" s="109" t="s">
        <v>126</v>
      </c>
      <c r="E42" s="97">
        <v>38787</v>
      </c>
      <c r="F42" s="97">
        <v>36329</v>
      </c>
      <c r="G42" s="98">
        <f>SUM(B42:F42)</f>
        <v>150410</v>
      </c>
      <c r="H42" s="97">
        <v>10</v>
      </c>
      <c r="I42" s="97">
        <v>19</v>
      </c>
      <c r="J42" s="97">
        <v>24</v>
      </c>
      <c r="K42" s="97">
        <v>18</v>
      </c>
      <c r="L42" s="97">
        <v>18</v>
      </c>
      <c r="M42" s="97">
        <f>SUM(H42:L42)</f>
        <v>89</v>
      </c>
      <c r="N42" s="99">
        <f t="shared" ref="N42:N43" si="25">M42*100/$G42</f>
        <v>5.9171597633136092E-2</v>
      </c>
      <c r="O42" s="97">
        <v>9</v>
      </c>
      <c r="P42" s="97">
        <v>24</v>
      </c>
      <c r="Q42" s="97">
        <v>16</v>
      </c>
      <c r="R42" s="97">
        <v>24</v>
      </c>
      <c r="S42" s="97">
        <v>31</v>
      </c>
      <c r="T42" s="97">
        <f>SUM(O42:S42)</f>
        <v>104</v>
      </c>
      <c r="U42" s="99">
        <f>T42*100/$G42</f>
        <v>6.9144338807260161E-2</v>
      </c>
      <c r="V42" s="97">
        <v>52</v>
      </c>
      <c r="W42" s="97">
        <v>10</v>
      </c>
      <c r="X42" s="97">
        <v>51</v>
      </c>
      <c r="Y42" s="97">
        <v>20</v>
      </c>
      <c r="Z42" s="97">
        <v>12</v>
      </c>
      <c r="AA42" s="97">
        <f>SUM(V42:Z42)</f>
        <v>145</v>
      </c>
      <c r="AB42" s="99">
        <f t="shared" ref="AB42:AB43" si="26">AA42*100/$G42</f>
        <v>9.6403164683199261E-2</v>
      </c>
      <c r="AC42" s="101">
        <v>14</v>
      </c>
      <c r="AD42" s="101">
        <v>2</v>
      </c>
      <c r="AE42" s="101">
        <v>227</v>
      </c>
    </row>
    <row r="43" spans="1:31" s="132" customFormat="1" ht="14.4" thickBot="1" x14ac:dyDescent="0.3">
      <c r="A43" s="128" t="s">
        <v>21</v>
      </c>
      <c r="B43" s="111">
        <f>SUM(B41:B42)</f>
        <v>45597</v>
      </c>
      <c r="C43" s="111">
        <f t="shared" ref="C43:L43" si="27">SUM(C41:C42)</f>
        <v>29697</v>
      </c>
      <c r="D43" s="111">
        <f t="shared" si="27"/>
        <v>0</v>
      </c>
      <c r="E43" s="111">
        <f t="shared" si="27"/>
        <v>38787</v>
      </c>
      <c r="F43" s="111">
        <f t="shared" si="27"/>
        <v>36329</v>
      </c>
      <c r="G43" s="102">
        <f>SUM(G41:G42)</f>
        <v>150410</v>
      </c>
      <c r="H43" s="111">
        <f t="shared" si="27"/>
        <v>10</v>
      </c>
      <c r="I43" s="111">
        <f t="shared" si="27"/>
        <v>19</v>
      </c>
      <c r="J43" s="111">
        <f t="shared" si="27"/>
        <v>24</v>
      </c>
      <c r="K43" s="111">
        <f t="shared" si="27"/>
        <v>18</v>
      </c>
      <c r="L43" s="111">
        <f t="shared" si="27"/>
        <v>18</v>
      </c>
      <c r="M43" s="103">
        <f>SUM(M41:M42)</f>
        <v>89</v>
      </c>
      <c r="N43" s="104">
        <f t="shared" si="25"/>
        <v>5.9171597633136092E-2</v>
      </c>
      <c r="O43" s="111">
        <f t="shared" ref="O43:S43" si="28">SUM(O41:O42)</f>
        <v>9</v>
      </c>
      <c r="P43" s="111">
        <f t="shared" si="28"/>
        <v>24</v>
      </c>
      <c r="Q43" s="111">
        <f t="shared" si="28"/>
        <v>16</v>
      </c>
      <c r="R43" s="111">
        <f t="shared" si="28"/>
        <v>24</v>
      </c>
      <c r="S43" s="111">
        <f t="shared" si="28"/>
        <v>31</v>
      </c>
      <c r="T43" s="103">
        <f>SUM(T41:T42)</f>
        <v>104</v>
      </c>
      <c r="U43" s="104">
        <f>T43*100/$G43</f>
        <v>6.9144338807260161E-2</v>
      </c>
      <c r="V43" s="111">
        <f t="shared" ref="V43:Z43" si="29">SUM(V41:V42)</f>
        <v>52</v>
      </c>
      <c r="W43" s="111">
        <f t="shared" si="29"/>
        <v>10</v>
      </c>
      <c r="X43" s="111">
        <f t="shared" si="29"/>
        <v>51</v>
      </c>
      <c r="Y43" s="111">
        <f t="shared" si="29"/>
        <v>20</v>
      </c>
      <c r="Z43" s="111">
        <f t="shared" si="29"/>
        <v>12</v>
      </c>
      <c r="AA43" s="103">
        <f>SUM(AA41:AA42)</f>
        <v>145</v>
      </c>
      <c r="AB43" s="104">
        <f t="shared" si="26"/>
        <v>9.6403164683199261E-2</v>
      </c>
      <c r="AC43" s="107">
        <f>SUM(AC41:AC42)</f>
        <v>14</v>
      </c>
      <c r="AD43" s="107">
        <f t="shared" ref="AD43:AE43" si="30">SUM(AD41:AD42)</f>
        <v>2</v>
      </c>
      <c r="AE43" s="107">
        <f t="shared" si="30"/>
        <v>227</v>
      </c>
    </row>
    <row r="44" spans="1:31" ht="16.2" thickBot="1" x14ac:dyDescent="0.3">
      <c r="A44" s="121" t="s">
        <v>48</v>
      </c>
      <c r="B44" s="138">
        <f>B12+B26+B38+B43</f>
        <v>102294</v>
      </c>
      <c r="C44" s="134">
        <f>C12+C26+C38+C43</f>
        <v>69770</v>
      </c>
      <c r="D44" s="138">
        <f>D12+D26+D38+D43</f>
        <v>82817</v>
      </c>
      <c r="E44" s="134">
        <f>SUM(B44:D44)</f>
        <v>254881</v>
      </c>
      <c r="F44" s="134">
        <f t="shared" ref="F44" si="31">F12+F26+F38+F43</f>
        <v>86495</v>
      </c>
      <c r="G44" s="122">
        <f>G12+G26+G38+G43</f>
        <v>438636</v>
      </c>
      <c r="H44" s="122">
        <f t="shared" ref="H44:AE44" si="32">H11+H25+H38+H43</f>
        <v>139</v>
      </c>
      <c r="I44" s="122">
        <f t="shared" si="32"/>
        <v>90</v>
      </c>
      <c r="J44" s="122">
        <f t="shared" si="32"/>
        <v>294</v>
      </c>
      <c r="K44" s="122">
        <f t="shared" si="32"/>
        <v>211</v>
      </c>
      <c r="L44" s="122">
        <f t="shared" si="32"/>
        <v>88</v>
      </c>
      <c r="M44" s="122">
        <f t="shared" si="32"/>
        <v>822</v>
      </c>
      <c r="N44" s="123">
        <f>M44*100/G44</f>
        <v>0.1873991190873526</v>
      </c>
      <c r="O44" s="122">
        <f t="shared" si="32"/>
        <v>311</v>
      </c>
      <c r="P44" s="122">
        <f t="shared" si="32"/>
        <v>154</v>
      </c>
      <c r="Q44" s="122">
        <f t="shared" si="32"/>
        <v>445</v>
      </c>
      <c r="R44" s="122">
        <f t="shared" si="32"/>
        <v>419</v>
      </c>
      <c r="S44" s="122">
        <f t="shared" si="32"/>
        <v>150</v>
      </c>
      <c r="T44" s="122">
        <f t="shared" si="32"/>
        <v>1479</v>
      </c>
      <c r="U44" s="123">
        <f t="shared" ref="U44" si="33">T44*100/G44</f>
        <v>0.33718162667906876</v>
      </c>
      <c r="V44" s="122">
        <f t="shared" si="32"/>
        <v>291</v>
      </c>
      <c r="W44" s="122">
        <f t="shared" si="32"/>
        <v>71</v>
      </c>
      <c r="X44" s="122">
        <f t="shared" si="32"/>
        <v>364</v>
      </c>
      <c r="Y44" s="122">
        <f t="shared" si="32"/>
        <v>478</v>
      </c>
      <c r="Z44" s="122">
        <f>Z11+Z25+Z38+Z43</f>
        <v>170</v>
      </c>
      <c r="AA44" s="122">
        <f t="shared" si="32"/>
        <v>1374</v>
      </c>
      <c r="AB44" s="123">
        <f t="shared" ref="AB44" si="34">AA44*100/G44</f>
        <v>0.31324378300002736</v>
      </c>
      <c r="AC44" s="122">
        <f>AC11+AC25+AC38+AC43</f>
        <v>190</v>
      </c>
      <c r="AD44" s="122">
        <f t="shared" si="32"/>
        <v>312</v>
      </c>
      <c r="AE44" s="122">
        <f t="shared" si="32"/>
        <v>5140</v>
      </c>
    </row>
  </sheetData>
  <mergeCells count="9">
    <mergeCell ref="A1:AE1"/>
    <mergeCell ref="A3:A4"/>
    <mergeCell ref="B3:G3"/>
    <mergeCell ref="H3:M3"/>
    <mergeCell ref="N3:N4"/>
    <mergeCell ref="O3:T3"/>
    <mergeCell ref="U3:U4"/>
    <mergeCell ref="V3:AA3"/>
    <mergeCell ref="AB3:AB4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pageSetUpPr fitToPage="1"/>
  </sheetPr>
  <dimension ref="A1:AJ50"/>
  <sheetViews>
    <sheetView zoomScaleNormal="10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P47" sqref="P47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6" s="81" customFormat="1" ht="24.6" x14ac:dyDescent="0.4">
      <c r="A1" s="479" t="s">
        <v>97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6" s="81" customFormat="1" ht="18" customHeight="1" thickBot="1" x14ac:dyDescent="0.35"/>
    <row r="3" spans="1:36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85" t="s">
        <v>43</v>
      </c>
      <c r="W3" s="486"/>
      <c r="X3" s="486"/>
      <c r="Y3" s="486"/>
      <c r="Z3" s="486"/>
      <c r="AA3" s="487" t="s">
        <v>43</v>
      </c>
      <c r="AB3" s="488" t="s">
        <v>42</v>
      </c>
      <c r="AC3" s="95" t="s">
        <v>120</v>
      </c>
      <c r="AD3" s="96" t="s">
        <v>46</v>
      </c>
      <c r="AE3" s="96" t="s">
        <v>47</v>
      </c>
      <c r="AF3" s="18"/>
      <c r="AG3" s="19"/>
      <c r="AH3" s="19"/>
      <c r="AI3" s="19"/>
      <c r="AJ3" s="19"/>
    </row>
    <row r="4" spans="1:36" ht="13.8" customHeight="1" thickTop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6" ht="14.4" thickBot="1" x14ac:dyDescent="0.3">
      <c r="A6" s="89" t="s">
        <v>1</v>
      </c>
      <c r="B6" s="97">
        <v>126</v>
      </c>
      <c r="C6" s="97">
        <v>35</v>
      </c>
      <c r="D6" s="97">
        <v>133</v>
      </c>
      <c r="E6" s="137">
        <v>88</v>
      </c>
      <c r="F6" s="97">
        <v>36</v>
      </c>
      <c r="G6" s="98">
        <f>SUM(B6:F6)</f>
        <v>418</v>
      </c>
      <c r="H6" s="97">
        <v>0</v>
      </c>
      <c r="I6" s="97">
        <v>0</v>
      </c>
      <c r="J6" s="97">
        <f>Düsseldorf14!C6</f>
        <v>0</v>
      </c>
      <c r="K6" s="97">
        <f>Kölle14!C6</f>
        <v>0</v>
      </c>
      <c r="L6" s="97">
        <v>1</v>
      </c>
      <c r="M6" s="101">
        <f>SUM(H6:L6)</f>
        <v>1</v>
      </c>
      <c r="N6" s="99">
        <f>M6*100/G6</f>
        <v>0.23923444976076555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101">
        <f>SUM(O6:S6)</f>
        <v>0</v>
      </c>
      <c r="U6" s="99">
        <f>T6*100/G6</f>
        <v>0</v>
      </c>
      <c r="V6" s="97">
        <v>0</v>
      </c>
      <c r="W6" s="97">
        <f>Detmold14!E6</f>
        <v>0</v>
      </c>
      <c r="X6" s="97">
        <v>2</v>
      </c>
      <c r="Y6" s="97">
        <v>0</v>
      </c>
      <c r="Z6" s="97">
        <v>0</v>
      </c>
      <c r="AA6" s="97">
        <f>SUM(V6:Z6)</f>
        <v>2</v>
      </c>
      <c r="AB6" s="99">
        <f>AA6*100/G6</f>
        <v>0.4784688995215311</v>
      </c>
      <c r="AC6" s="101">
        <f>Arnsberg14!F6+Detmold14!F6+Düsseldorf14!F6+Kölle14!F6+Münster14!F6</f>
        <v>0</v>
      </c>
      <c r="AD6" s="101">
        <v>0</v>
      </c>
      <c r="AE6" s="101">
        <v>8</v>
      </c>
    </row>
    <row r="7" spans="1:36" ht="14.4" thickBot="1" x14ac:dyDescent="0.3">
      <c r="A7" s="90" t="s">
        <v>2</v>
      </c>
      <c r="B7" s="97">
        <v>916</v>
      </c>
      <c r="C7" s="97">
        <v>168</v>
      </c>
      <c r="D7" s="97">
        <v>752</v>
      </c>
      <c r="E7" s="137">
        <v>582</v>
      </c>
      <c r="F7" s="97">
        <v>302</v>
      </c>
      <c r="G7" s="98">
        <f>SUM(B7:F7)</f>
        <v>2720</v>
      </c>
      <c r="H7" s="97">
        <v>0</v>
      </c>
      <c r="I7" s="97">
        <v>2</v>
      </c>
      <c r="J7" s="97">
        <v>3</v>
      </c>
      <c r="K7" s="97">
        <v>0</v>
      </c>
      <c r="L7" s="97">
        <v>0</v>
      </c>
      <c r="M7" s="97">
        <f>SUM(H7:L7)</f>
        <v>5</v>
      </c>
      <c r="N7" s="99">
        <f>M7*100/G7</f>
        <v>0.18382352941176472</v>
      </c>
      <c r="O7" s="97">
        <v>4</v>
      </c>
      <c r="P7" s="97">
        <v>1</v>
      </c>
      <c r="Q7" s="97">
        <v>4</v>
      </c>
      <c r="R7" s="97">
        <v>7</v>
      </c>
      <c r="S7" s="97">
        <v>1</v>
      </c>
      <c r="T7" s="97">
        <f>SUM(O7:S7)</f>
        <v>17</v>
      </c>
      <c r="U7" s="99">
        <f>T7*100/G7</f>
        <v>0.625</v>
      </c>
      <c r="V7" s="97">
        <v>2</v>
      </c>
      <c r="W7" s="97">
        <f>Detmold14!E7</f>
        <v>0</v>
      </c>
      <c r="X7" s="97">
        <v>8</v>
      </c>
      <c r="Y7" s="97">
        <v>2</v>
      </c>
      <c r="Z7" s="97">
        <v>0</v>
      </c>
      <c r="AA7" s="97">
        <f>SUM(V7:Z7)</f>
        <v>12</v>
      </c>
      <c r="AB7" s="99">
        <f>AA7*100/G7</f>
        <v>0.44117647058823528</v>
      </c>
      <c r="AC7" s="101">
        <v>2</v>
      </c>
      <c r="AD7" s="101">
        <v>0</v>
      </c>
      <c r="AE7" s="101">
        <v>61</v>
      </c>
    </row>
    <row r="8" spans="1:36" ht="14.4" thickBot="1" x14ac:dyDescent="0.3">
      <c r="A8" s="90" t="s">
        <v>14</v>
      </c>
      <c r="B8" s="97">
        <v>75</v>
      </c>
      <c r="C8" s="97">
        <v>36</v>
      </c>
      <c r="D8" s="97">
        <v>104</v>
      </c>
      <c r="E8" s="137">
        <v>97</v>
      </c>
      <c r="F8" s="97">
        <v>34</v>
      </c>
      <c r="G8" s="98">
        <f>SUM(B8:F8)</f>
        <v>346</v>
      </c>
      <c r="H8" s="97">
        <v>0</v>
      </c>
      <c r="I8" s="97">
        <v>0</v>
      </c>
      <c r="J8" s="97">
        <v>0</v>
      </c>
      <c r="K8" s="97">
        <f>Kölle14!C8</f>
        <v>0</v>
      </c>
      <c r="L8" s="97">
        <f>Münster14!C8</f>
        <v>0</v>
      </c>
      <c r="M8" s="101">
        <f>SUM(H8:L8)</f>
        <v>0</v>
      </c>
      <c r="N8" s="99">
        <f>M8*100/G8</f>
        <v>0</v>
      </c>
      <c r="O8" s="97">
        <v>0</v>
      </c>
      <c r="P8" s="97">
        <v>0</v>
      </c>
      <c r="Q8" s="97">
        <v>1</v>
      </c>
      <c r="R8" s="97">
        <v>0</v>
      </c>
      <c r="S8" s="97">
        <v>0</v>
      </c>
      <c r="T8" s="101">
        <f>SUM(O8:S8)</f>
        <v>1</v>
      </c>
      <c r="U8" s="99">
        <f t="shared" ref="U8:U43" si="0">T8*100/G8</f>
        <v>0.28901734104046245</v>
      </c>
      <c r="V8" s="97">
        <v>0</v>
      </c>
      <c r="W8" s="97">
        <f>Detmold14!E8</f>
        <v>0</v>
      </c>
      <c r="X8" s="97">
        <v>1</v>
      </c>
      <c r="Y8" s="97">
        <v>0</v>
      </c>
      <c r="Z8" s="97">
        <v>0</v>
      </c>
      <c r="AA8" s="97">
        <f>SUM(V8:Z8)</f>
        <v>1</v>
      </c>
      <c r="AB8" s="99">
        <f t="shared" ref="AB8:AB43" si="1">AA8*100/G8</f>
        <v>0.28901734104046245</v>
      </c>
      <c r="AC8" s="101">
        <v>1</v>
      </c>
      <c r="AD8" s="101">
        <v>0</v>
      </c>
      <c r="AE8" s="101">
        <v>6</v>
      </c>
    </row>
    <row r="9" spans="1:36" ht="14.4" thickBot="1" x14ac:dyDescent="0.3">
      <c r="A9" s="90" t="s">
        <v>3</v>
      </c>
      <c r="B9" s="97">
        <v>146</v>
      </c>
      <c r="C9" s="97">
        <v>63</v>
      </c>
      <c r="D9" s="97">
        <v>166</v>
      </c>
      <c r="E9" s="137">
        <v>122</v>
      </c>
      <c r="F9" s="97">
        <v>31</v>
      </c>
      <c r="G9" s="98">
        <f>SUM(B9:F9)</f>
        <v>528</v>
      </c>
      <c r="H9" s="97">
        <v>0</v>
      </c>
      <c r="I9" s="97">
        <v>0</v>
      </c>
      <c r="J9" s="97">
        <v>1</v>
      </c>
      <c r="K9" s="97">
        <f>Kölle14!C9</f>
        <v>0</v>
      </c>
      <c r="L9" s="97">
        <f>Münster14!C9</f>
        <v>0</v>
      </c>
      <c r="M9" s="97">
        <f>SUM(H9:L9)</f>
        <v>1</v>
      </c>
      <c r="N9" s="99">
        <f>M9*100/G9</f>
        <v>0.18939393939393939</v>
      </c>
      <c r="O9" s="97">
        <v>0</v>
      </c>
      <c r="P9" s="97">
        <v>1</v>
      </c>
      <c r="Q9" s="97">
        <v>1</v>
      </c>
      <c r="R9" s="97">
        <v>0</v>
      </c>
      <c r="S9" s="97">
        <v>0</v>
      </c>
      <c r="T9" s="97">
        <f>SUM(O9:S9)</f>
        <v>2</v>
      </c>
      <c r="U9" s="99">
        <f t="shared" si="0"/>
        <v>0.37878787878787878</v>
      </c>
      <c r="V9" s="97">
        <v>0</v>
      </c>
      <c r="W9" s="97">
        <f>Detmold14!E9</f>
        <v>0</v>
      </c>
      <c r="X9" s="97">
        <v>3</v>
      </c>
      <c r="Y9" s="97">
        <v>0</v>
      </c>
      <c r="Z9" s="97">
        <v>1</v>
      </c>
      <c r="AA9" s="97">
        <f>SUM(V9:Z9)</f>
        <v>4</v>
      </c>
      <c r="AB9" s="99">
        <f t="shared" si="1"/>
        <v>0.75757575757575757</v>
      </c>
      <c r="AC9" s="101">
        <f>Arnsberg14!F9+Detmold14!F9+Düsseldorf14!F9+Kölle14!F9+Münster14!F9</f>
        <v>0</v>
      </c>
      <c r="AD9" s="101">
        <v>0</v>
      </c>
      <c r="AE9" s="101">
        <v>10</v>
      </c>
    </row>
    <row r="10" spans="1:36" ht="23.4" thickBot="1" x14ac:dyDescent="0.3">
      <c r="A10" s="139" t="s">
        <v>23</v>
      </c>
      <c r="B10" s="97">
        <v>1042</v>
      </c>
      <c r="C10" s="97">
        <v>194</v>
      </c>
      <c r="D10" s="97">
        <v>916</v>
      </c>
      <c r="E10" s="137">
        <v>828</v>
      </c>
      <c r="F10" s="97">
        <v>319</v>
      </c>
      <c r="G10" s="98">
        <f>SUM(B10:F10)</f>
        <v>3299</v>
      </c>
      <c r="H10" s="97">
        <v>0</v>
      </c>
      <c r="I10" s="97">
        <v>0</v>
      </c>
      <c r="J10" s="97">
        <v>0</v>
      </c>
      <c r="K10" s="97">
        <v>3</v>
      </c>
      <c r="L10" s="97">
        <v>0</v>
      </c>
      <c r="M10" s="97">
        <f>SUM(H10:L10)</f>
        <v>3</v>
      </c>
      <c r="N10" s="99">
        <f>M10*100/G10</f>
        <v>9.0936647468929974E-2</v>
      </c>
      <c r="O10" s="97">
        <v>2</v>
      </c>
      <c r="P10" s="97">
        <v>0</v>
      </c>
      <c r="Q10" s="97">
        <v>3</v>
      </c>
      <c r="R10" s="97">
        <v>4</v>
      </c>
      <c r="S10" s="97">
        <v>0</v>
      </c>
      <c r="T10" s="100">
        <f>SUM(O10:S10)</f>
        <v>9</v>
      </c>
      <c r="U10" s="99">
        <f t="shared" si="0"/>
        <v>0.27280994240678996</v>
      </c>
      <c r="V10" s="97">
        <v>1</v>
      </c>
      <c r="W10" s="97">
        <f>Detmold14!E10</f>
        <v>0</v>
      </c>
      <c r="X10" s="97">
        <v>5</v>
      </c>
      <c r="Y10" s="97">
        <v>0</v>
      </c>
      <c r="Z10" s="97">
        <v>1</v>
      </c>
      <c r="AA10" s="97">
        <f>SUM(V10:Z10)</f>
        <v>7</v>
      </c>
      <c r="AB10" s="99">
        <f t="shared" si="1"/>
        <v>0.21218551076083661</v>
      </c>
      <c r="AC10" s="101">
        <v>2</v>
      </c>
      <c r="AD10" s="101">
        <v>1</v>
      </c>
      <c r="AE10" s="101">
        <v>71</v>
      </c>
    </row>
    <row r="11" spans="1:36" s="132" customFormat="1" ht="14.4" thickBot="1" x14ac:dyDescent="0.3">
      <c r="A11" s="124" t="s">
        <v>21</v>
      </c>
      <c r="B11" s="105">
        <f>SUM(B6:B10)</f>
        <v>2305</v>
      </c>
      <c r="C11" s="105">
        <f>SUM(C6:C10)</f>
        <v>496</v>
      </c>
      <c r="D11" s="105">
        <f>SUM(D6:D10)</f>
        <v>2071</v>
      </c>
      <c r="E11" s="105">
        <f>SUM(E6:E10)</f>
        <v>1717</v>
      </c>
      <c r="F11" s="105">
        <f>SUM(F6:F10)</f>
        <v>722</v>
      </c>
      <c r="G11" s="102">
        <f t="shared" ref="G11:M11" si="2">SUM(G6:G10)</f>
        <v>7311</v>
      </c>
      <c r="H11" s="111">
        <f>SUM(H6:H10)</f>
        <v>0</v>
      </c>
      <c r="I11" s="111">
        <f>SUM(I6:I10)</f>
        <v>2</v>
      </c>
      <c r="J11" s="111">
        <f t="shared" si="2"/>
        <v>4</v>
      </c>
      <c r="K11" s="111">
        <f t="shared" si="2"/>
        <v>3</v>
      </c>
      <c r="L11" s="111">
        <f t="shared" si="2"/>
        <v>1</v>
      </c>
      <c r="M11" s="103">
        <f t="shared" si="2"/>
        <v>10</v>
      </c>
      <c r="N11" s="104">
        <f t="shared" ref="N11:N43" si="3">M11*100/G11</f>
        <v>0.1367801942278758</v>
      </c>
      <c r="O11" s="105">
        <f t="shared" ref="O11:T11" si="4">SUM(O6:O10)</f>
        <v>6</v>
      </c>
      <c r="P11" s="105">
        <f t="shared" si="4"/>
        <v>2</v>
      </c>
      <c r="Q11" s="105">
        <f t="shared" si="4"/>
        <v>9</v>
      </c>
      <c r="R11" s="105">
        <f>SUM(R6:R10)</f>
        <v>11</v>
      </c>
      <c r="S11" s="105">
        <f t="shared" si="4"/>
        <v>1</v>
      </c>
      <c r="T11" s="103">
        <f t="shared" si="4"/>
        <v>29</v>
      </c>
      <c r="U11" s="104">
        <f t="shared" si="0"/>
        <v>0.39666256326083982</v>
      </c>
      <c r="V11" s="105">
        <f t="shared" ref="V11:AA11" si="5">SUM(V6:V10)</f>
        <v>3</v>
      </c>
      <c r="W11" s="105">
        <f t="shared" si="5"/>
        <v>0</v>
      </c>
      <c r="X11" s="105">
        <f t="shared" si="5"/>
        <v>19</v>
      </c>
      <c r="Y11" s="105">
        <f>SUM(Y6:Y10)</f>
        <v>2</v>
      </c>
      <c r="Z11" s="105">
        <f t="shared" si="5"/>
        <v>2</v>
      </c>
      <c r="AA11" s="106">
        <f t="shared" si="5"/>
        <v>26</v>
      </c>
      <c r="AB11" s="104">
        <f t="shared" si="1"/>
        <v>0.35562850499247711</v>
      </c>
      <c r="AC11" s="107">
        <f>SUM(AC6:AC10)</f>
        <v>5</v>
      </c>
      <c r="AD11" s="107">
        <f>SUM(AD6:AD10)</f>
        <v>1</v>
      </c>
      <c r="AE11" s="107">
        <f>SUM(AE6:AE10)</f>
        <v>156</v>
      </c>
    </row>
    <row r="12" spans="1:3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6" ht="14.4" thickBot="1" x14ac:dyDescent="0.3">
      <c r="A14" s="89" t="s">
        <v>4</v>
      </c>
      <c r="B14" s="97">
        <v>15</v>
      </c>
      <c r="C14" s="97">
        <v>9</v>
      </c>
      <c r="D14" s="97">
        <v>33</v>
      </c>
      <c r="E14" s="97">
        <v>34</v>
      </c>
      <c r="F14" s="97">
        <v>9</v>
      </c>
      <c r="G14" s="98">
        <f>SUM(B14:F14)</f>
        <v>100</v>
      </c>
      <c r="H14" s="97">
        <v>0</v>
      </c>
      <c r="I14" s="97">
        <f>Detmold14!C14</f>
        <v>0</v>
      </c>
      <c r="J14" s="97">
        <f>Düsseldorf14!C14</f>
        <v>0</v>
      </c>
      <c r="K14" s="97">
        <f>Kölle14!C14</f>
        <v>0</v>
      </c>
      <c r="L14" s="97">
        <f>Münster14!C14</f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f>Detmold14!D14</f>
        <v>0</v>
      </c>
      <c r="Q14" s="97">
        <v>1</v>
      </c>
      <c r="R14" s="97">
        <v>0</v>
      </c>
      <c r="S14" s="97">
        <v>0</v>
      </c>
      <c r="T14" s="97">
        <f>SUM(O14:S14)</f>
        <v>1</v>
      </c>
      <c r="U14" s="99">
        <f t="shared" si="0"/>
        <v>1</v>
      </c>
      <c r="V14" s="97">
        <f>Arnsberg14!E14</f>
        <v>0</v>
      </c>
      <c r="W14" s="97">
        <f>Detmold14!E14</f>
        <v>0</v>
      </c>
      <c r="X14" s="97">
        <f>Düsseldorf14!E14</f>
        <v>0</v>
      </c>
      <c r="Y14" s="97">
        <f>Kölle14!E14</f>
        <v>0</v>
      </c>
      <c r="Z14" s="97">
        <v>0</v>
      </c>
      <c r="AA14" s="101">
        <f>SUM(V14:Z14)</f>
        <v>0</v>
      </c>
      <c r="AB14" s="99">
        <f t="shared" si="1"/>
        <v>0</v>
      </c>
      <c r="AC14" s="101">
        <f>Arnsberg14!F14+Detmold14!F14+Düsseldorf14!F14+Kölle14!F14+Münster14!F14</f>
        <v>0</v>
      </c>
      <c r="AD14" s="101">
        <f>Arnsberg14!G14+Detmold14!G14+Düsseldorf14!G14+Kölle14!G14+Münster14!G14</f>
        <v>0</v>
      </c>
      <c r="AE14" s="101">
        <v>0</v>
      </c>
    </row>
    <row r="15" spans="1:36" ht="14.4" thickBot="1" x14ac:dyDescent="0.3">
      <c r="A15" s="89" t="s">
        <v>5</v>
      </c>
      <c r="B15" s="97">
        <v>214</v>
      </c>
      <c r="C15" s="97">
        <v>48</v>
      </c>
      <c r="D15" s="97">
        <v>208</v>
      </c>
      <c r="E15" s="97">
        <v>331</v>
      </c>
      <c r="F15" s="97">
        <v>83</v>
      </c>
      <c r="G15" s="98">
        <f t="shared" ref="G15:G24" si="6">SUM(B15:F15)</f>
        <v>884</v>
      </c>
      <c r="H15" s="97">
        <v>1</v>
      </c>
      <c r="I15" s="97">
        <f>Detmold14!C15</f>
        <v>0</v>
      </c>
      <c r="J15" s="97">
        <v>1</v>
      </c>
      <c r="K15" s="97">
        <v>2</v>
      </c>
      <c r="L15" s="97">
        <v>0</v>
      </c>
      <c r="M15" s="97">
        <f>SUM(H15:L15)</f>
        <v>4</v>
      </c>
      <c r="N15" s="99">
        <f t="shared" si="3"/>
        <v>0.45248868778280543</v>
      </c>
      <c r="O15" s="97">
        <v>3</v>
      </c>
      <c r="P15" s="97">
        <v>0</v>
      </c>
      <c r="Q15" s="97">
        <v>1</v>
      </c>
      <c r="R15" s="97">
        <v>3</v>
      </c>
      <c r="S15" s="97">
        <v>2</v>
      </c>
      <c r="T15" s="97">
        <f>SUM(O15:S15)</f>
        <v>9</v>
      </c>
      <c r="U15" s="99">
        <f t="shared" si="0"/>
        <v>1.0180995475113122</v>
      </c>
      <c r="V15" s="97">
        <f>Arnsberg14!E15</f>
        <v>0</v>
      </c>
      <c r="W15" s="97">
        <f>Detmold14!E15</f>
        <v>0</v>
      </c>
      <c r="X15" s="97">
        <v>2</v>
      </c>
      <c r="Y15" s="97">
        <v>0</v>
      </c>
      <c r="Z15" s="97">
        <f>Münster14!E15</f>
        <v>0</v>
      </c>
      <c r="AA15" s="97">
        <f>SUM(V15:Z15)</f>
        <v>2</v>
      </c>
      <c r="AB15" s="99">
        <f t="shared" si="1"/>
        <v>0.22624434389140272</v>
      </c>
      <c r="AC15" s="101">
        <v>0</v>
      </c>
      <c r="AD15" s="101">
        <v>0</v>
      </c>
      <c r="AE15" s="101">
        <v>41</v>
      </c>
    </row>
    <row r="16" spans="1:36" ht="14.4" thickBot="1" x14ac:dyDescent="0.3">
      <c r="A16" s="89" t="s">
        <v>6</v>
      </c>
      <c r="B16" s="109">
        <v>55</v>
      </c>
      <c r="C16" s="97">
        <v>30</v>
      </c>
      <c r="D16" s="97">
        <v>64</v>
      </c>
      <c r="E16" s="97">
        <v>50</v>
      </c>
      <c r="F16" s="97">
        <v>36</v>
      </c>
      <c r="G16" s="98">
        <f t="shared" si="6"/>
        <v>235</v>
      </c>
      <c r="H16" s="97">
        <v>0</v>
      </c>
      <c r="I16" s="97">
        <f>Detmold14!C16</f>
        <v>0</v>
      </c>
      <c r="J16" s="97">
        <f>Düsseldorf14!C16</f>
        <v>0</v>
      </c>
      <c r="K16" s="97">
        <f>Kölle14!C16</f>
        <v>0</v>
      </c>
      <c r="L16" s="97">
        <f>Münster14!C16</f>
        <v>0</v>
      </c>
      <c r="M16" s="101">
        <f t="shared" ref="M16:M20" si="7">SUM(H16:L16)</f>
        <v>0</v>
      </c>
      <c r="N16" s="99">
        <f t="shared" si="3"/>
        <v>0</v>
      </c>
      <c r="O16" s="97">
        <v>0</v>
      </c>
      <c r="P16" s="97">
        <f>Detmold14!D16</f>
        <v>0</v>
      </c>
      <c r="Q16" s="97">
        <v>3</v>
      </c>
      <c r="R16" s="97">
        <v>1</v>
      </c>
      <c r="S16" s="97">
        <f>Münster14!D16</f>
        <v>0</v>
      </c>
      <c r="T16" s="97">
        <f>SUM(O16:S16)</f>
        <v>4</v>
      </c>
      <c r="U16" s="99">
        <f t="shared" si="0"/>
        <v>1.7021276595744681</v>
      </c>
      <c r="V16" s="97">
        <f>Arnsberg14!E16</f>
        <v>0</v>
      </c>
      <c r="W16" s="97">
        <f>Detmold14!E16</f>
        <v>0</v>
      </c>
      <c r="X16" s="97">
        <v>0</v>
      </c>
      <c r="Y16" s="97">
        <v>0</v>
      </c>
      <c r="Z16" s="97">
        <f>Münster14!E16</f>
        <v>0</v>
      </c>
      <c r="AA16" s="97">
        <f>SUM(V16:Z16)</f>
        <v>0</v>
      </c>
      <c r="AB16" s="99">
        <f t="shared" si="1"/>
        <v>0</v>
      </c>
      <c r="AC16" s="101">
        <f>Arnsberg14!F16+Detmold14!F16+Düsseldorf14!F16+Kölle14!F16+Münster14!F16</f>
        <v>0</v>
      </c>
      <c r="AD16" s="101">
        <f>Arnsberg14!G16+Detmold14!G16+Düsseldorf14!G16+Kölle14!G16+Münster14!G16</f>
        <v>0</v>
      </c>
      <c r="AE16" s="101">
        <v>3</v>
      </c>
    </row>
    <row r="17" spans="1:34" ht="14.4" thickBot="1" x14ac:dyDescent="0.3">
      <c r="A17" s="89" t="s">
        <v>7</v>
      </c>
      <c r="B17" s="97">
        <v>24</v>
      </c>
      <c r="C17" s="97">
        <v>12</v>
      </c>
      <c r="D17" s="97">
        <v>40</v>
      </c>
      <c r="E17" s="97">
        <v>18</v>
      </c>
      <c r="F17" s="97">
        <v>20</v>
      </c>
      <c r="G17" s="98">
        <f t="shared" si="6"/>
        <v>114</v>
      </c>
      <c r="H17" s="97">
        <v>0</v>
      </c>
      <c r="I17" s="97">
        <f>Detmold14!C17</f>
        <v>0</v>
      </c>
      <c r="J17" s="97">
        <v>0</v>
      </c>
      <c r="K17" s="97">
        <v>0</v>
      </c>
      <c r="L17" s="97">
        <f>Münster14!C17</f>
        <v>0</v>
      </c>
      <c r="M17" s="97">
        <f>SUM(H17:L17)</f>
        <v>0</v>
      </c>
      <c r="N17" s="99">
        <f t="shared" si="3"/>
        <v>0</v>
      </c>
      <c r="O17" s="97">
        <v>0</v>
      </c>
      <c r="P17" s="97">
        <f>Detmold14!D17</f>
        <v>0</v>
      </c>
      <c r="Q17" s="97">
        <v>0</v>
      </c>
      <c r="R17" s="97">
        <v>0</v>
      </c>
      <c r="S17" s="97">
        <f>Münster14!D17</f>
        <v>0</v>
      </c>
      <c r="T17" s="97">
        <f>SUM(O17:S17)</f>
        <v>0</v>
      </c>
      <c r="U17" s="99">
        <f t="shared" si="0"/>
        <v>0</v>
      </c>
      <c r="V17" s="97">
        <f>Arnsberg14!E17</f>
        <v>0</v>
      </c>
      <c r="W17" s="97">
        <f>Detmold14!E17</f>
        <v>0</v>
      </c>
      <c r="X17" s="97">
        <f>Düsseldorf14!E17</f>
        <v>0</v>
      </c>
      <c r="Y17" s="97">
        <f>Kölle14!E17</f>
        <v>0</v>
      </c>
      <c r="Z17" s="97">
        <f>Münster14!E17</f>
        <v>0</v>
      </c>
      <c r="AA17" s="101">
        <f t="shared" ref="AA17:AA20" si="8">SUM(V17:Z17)</f>
        <v>0</v>
      </c>
      <c r="AB17" s="99">
        <f t="shared" si="1"/>
        <v>0</v>
      </c>
      <c r="AC17" s="101">
        <f>Arnsberg14!F17+Detmold14!F17+Düsseldorf14!F17+Kölle14!F17+Münster14!F17</f>
        <v>0</v>
      </c>
      <c r="AD17" s="101">
        <f>Arnsberg14!G17+Detmold14!G17+Düsseldorf14!G17+Kölle14!G17+Münster14!G17</f>
        <v>0</v>
      </c>
      <c r="AE17" s="101">
        <v>1</v>
      </c>
    </row>
    <row r="18" spans="1:34" ht="14.4" thickBot="1" x14ac:dyDescent="0.3">
      <c r="A18" s="89" t="s">
        <v>8</v>
      </c>
      <c r="B18" s="97">
        <v>8</v>
      </c>
      <c r="C18" s="97">
        <v>2</v>
      </c>
      <c r="D18" s="97">
        <v>8</v>
      </c>
      <c r="E18" s="97">
        <v>3</v>
      </c>
      <c r="F18" s="97">
        <v>2</v>
      </c>
      <c r="G18" s="98">
        <f t="shared" si="6"/>
        <v>23</v>
      </c>
      <c r="H18" s="97">
        <v>0</v>
      </c>
      <c r="I18" s="97">
        <f>Detmold14!C18</f>
        <v>0</v>
      </c>
      <c r="J18" s="97">
        <f>Düsseldorf14!C18</f>
        <v>0</v>
      </c>
      <c r="K18" s="97">
        <f>Kölle14!C18</f>
        <v>0</v>
      </c>
      <c r="L18" s="97">
        <f>Münster14!C18</f>
        <v>0</v>
      </c>
      <c r="M18" s="97">
        <f>SUM(H18:L18)</f>
        <v>0</v>
      </c>
      <c r="N18" s="99">
        <f t="shared" si="3"/>
        <v>0</v>
      </c>
      <c r="O18" s="97">
        <v>0</v>
      </c>
      <c r="P18" s="97">
        <f>Detmold14!D18</f>
        <v>0</v>
      </c>
      <c r="Q18" s="97">
        <v>0</v>
      </c>
      <c r="R18" s="97">
        <v>0</v>
      </c>
      <c r="S18" s="97">
        <f>Münster14!D18</f>
        <v>0</v>
      </c>
      <c r="T18" s="101">
        <f t="shared" ref="T18:T20" si="9">SUM(O18:S18)</f>
        <v>0</v>
      </c>
      <c r="U18" s="99">
        <f t="shared" si="0"/>
        <v>0</v>
      </c>
      <c r="V18" s="97">
        <v>0</v>
      </c>
      <c r="W18" s="97">
        <f>Detmold14!E18</f>
        <v>0</v>
      </c>
      <c r="X18" s="97">
        <f>Düsseldorf14!E18</f>
        <v>0</v>
      </c>
      <c r="Y18" s="97">
        <f>Kölle14!E18</f>
        <v>0</v>
      </c>
      <c r="Z18" s="97">
        <f>Münster14!E18</f>
        <v>0</v>
      </c>
      <c r="AA18" s="97">
        <f>SUM(V18:Z18)</f>
        <v>0</v>
      </c>
      <c r="AB18" s="99">
        <f t="shared" si="1"/>
        <v>0</v>
      </c>
      <c r="AC18" s="101">
        <f>Arnsberg14!F18+Detmold14!F18+Düsseldorf14!F18+Kölle14!F18+Münster14!F18</f>
        <v>0</v>
      </c>
      <c r="AD18" s="101">
        <f>Arnsberg14!G18+Detmold14!G18+Düsseldorf14!G18+Kölle14!G18+Münster14!G18</f>
        <v>0</v>
      </c>
      <c r="AE18" s="101">
        <v>0</v>
      </c>
    </row>
    <row r="19" spans="1:34" ht="14.4" thickBot="1" x14ac:dyDescent="0.3">
      <c r="A19" s="89" t="s">
        <v>9</v>
      </c>
      <c r="B19" s="97">
        <v>21</v>
      </c>
      <c r="C19" s="97">
        <v>4</v>
      </c>
      <c r="D19" s="97">
        <v>26</v>
      </c>
      <c r="E19" s="97">
        <v>17</v>
      </c>
      <c r="F19" s="97">
        <v>9</v>
      </c>
      <c r="G19" s="98">
        <f t="shared" si="6"/>
        <v>77</v>
      </c>
      <c r="H19" s="97">
        <v>0</v>
      </c>
      <c r="I19" s="97">
        <f>Detmold14!C19</f>
        <v>0</v>
      </c>
      <c r="J19" s="97">
        <v>0</v>
      </c>
      <c r="K19" s="97">
        <v>0</v>
      </c>
      <c r="L19" s="97">
        <f>Münster14!C19</f>
        <v>0</v>
      </c>
      <c r="M19" s="101">
        <f t="shared" si="7"/>
        <v>0</v>
      </c>
      <c r="N19" s="99">
        <f t="shared" si="3"/>
        <v>0</v>
      </c>
      <c r="O19" s="97">
        <v>0</v>
      </c>
      <c r="P19" s="97">
        <f>Detmold14!D19</f>
        <v>0</v>
      </c>
      <c r="Q19" s="97">
        <v>0</v>
      </c>
      <c r="R19" s="97">
        <v>0</v>
      </c>
      <c r="S19" s="97">
        <f>Münster14!D19</f>
        <v>0</v>
      </c>
      <c r="T19" s="101">
        <f t="shared" si="9"/>
        <v>0</v>
      </c>
      <c r="U19" s="99">
        <f t="shared" si="0"/>
        <v>0</v>
      </c>
      <c r="V19" s="97">
        <f>Arnsberg14!E19</f>
        <v>0</v>
      </c>
      <c r="W19" s="97">
        <f>Detmold14!E19</f>
        <v>0</v>
      </c>
      <c r="X19" s="97">
        <f>Düsseldorf14!E19</f>
        <v>0</v>
      </c>
      <c r="Y19" s="97">
        <f>Kölle14!E19</f>
        <v>0</v>
      </c>
      <c r="Z19" s="97">
        <f>Münster14!E19</f>
        <v>0</v>
      </c>
      <c r="AA19" s="101">
        <f t="shared" si="8"/>
        <v>0</v>
      </c>
      <c r="AB19" s="99">
        <f t="shared" si="1"/>
        <v>0</v>
      </c>
      <c r="AC19" s="101">
        <f>Arnsberg14!F19+Detmold14!F19+Düsseldorf14!F19+Kölle14!F19+Münster14!F19</f>
        <v>0</v>
      </c>
      <c r="AD19" s="101">
        <f>Arnsberg14!G19+Detmold14!G19+Düsseldorf14!G19+Kölle14!G19+Münster14!G19</f>
        <v>0</v>
      </c>
      <c r="AE19" s="101">
        <v>0</v>
      </c>
    </row>
    <row r="20" spans="1:34" ht="14.4" thickBot="1" x14ac:dyDescent="0.3">
      <c r="A20" s="89" t="s">
        <v>10</v>
      </c>
      <c r="B20" s="97">
        <v>11</v>
      </c>
      <c r="C20" s="97">
        <v>4</v>
      </c>
      <c r="D20" s="97">
        <v>13</v>
      </c>
      <c r="E20" s="97">
        <v>20</v>
      </c>
      <c r="F20" s="97">
        <v>5</v>
      </c>
      <c r="G20" s="98">
        <f t="shared" si="6"/>
        <v>53</v>
      </c>
      <c r="H20" s="97">
        <v>0</v>
      </c>
      <c r="I20" s="97">
        <f>Detmold14!C20</f>
        <v>0</v>
      </c>
      <c r="J20" s="97">
        <f>Düsseldorf14!C20</f>
        <v>0</v>
      </c>
      <c r="K20" s="97">
        <v>0</v>
      </c>
      <c r="L20" s="97">
        <f>Münster14!C20</f>
        <v>0</v>
      </c>
      <c r="M20" s="101">
        <f t="shared" si="7"/>
        <v>0</v>
      </c>
      <c r="N20" s="99">
        <f t="shared" si="3"/>
        <v>0</v>
      </c>
      <c r="O20" s="97">
        <v>0</v>
      </c>
      <c r="P20" s="97">
        <f>Detmold14!D20</f>
        <v>0</v>
      </c>
      <c r="Q20" s="97">
        <v>0</v>
      </c>
      <c r="R20" s="97">
        <v>0</v>
      </c>
      <c r="S20" s="97">
        <f>Münster14!D20</f>
        <v>0</v>
      </c>
      <c r="T20" s="101">
        <f t="shared" si="9"/>
        <v>0</v>
      </c>
      <c r="U20" s="99">
        <f t="shared" si="0"/>
        <v>0</v>
      </c>
      <c r="V20" s="97">
        <f>Arnsberg14!E20</f>
        <v>0</v>
      </c>
      <c r="W20" s="97">
        <f>Detmold14!E20</f>
        <v>0</v>
      </c>
      <c r="X20" s="97">
        <f>Düsseldorf14!E20</f>
        <v>0</v>
      </c>
      <c r="Y20" s="97">
        <f>Kölle14!E20</f>
        <v>0</v>
      </c>
      <c r="Z20" s="97">
        <f>Münster14!E20</f>
        <v>0</v>
      </c>
      <c r="AA20" s="101">
        <f t="shared" si="8"/>
        <v>0</v>
      </c>
      <c r="AB20" s="99">
        <f t="shared" si="1"/>
        <v>0</v>
      </c>
      <c r="AC20" s="101">
        <f>Arnsberg14!F20+Detmold14!F20+Düsseldorf14!F20+Kölle14!F20+Münster14!F20</f>
        <v>0</v>
      </c>
      <c r="AD20" s="101">
        <f>Arnsberg14!G20+Detmold14!G20+Düsseldorf14!G20+Kölle14!G20+Münster14!G20</f>
        <v>0</v>
      </c>
      <c r="AE20" s="101">
        <v>0</v>
      </c>
    </row>
    <row r="21" spans="1:34" ht="14.4" thickBot="1" x14ac:dyDescent="0.3">
      <c r="A21" s="89" t="s">
        <v>11</v>
      </c>
      <c r="B21" s="97">
        <v>109</v>
      </c>
      <c r="C21" s="97">
        <v>10</v>
      </c>
      <c r="D21" s="97">
        <v>97</v>
      </c>
      <c r="E21" s="97">
        <v>115</v>
      </c>
      <c r="F21" s="97">
        <v>41</v>
      </c>
      <c r="G21" s="98">
        <f t="shared" si="6"/>
        <v>372</v>
      </c>
      <c r="H21" s="97">
        <v>1</v>
      </c>
      <c r="I21" s="97">
        <f>Detmold14!C21</f>
        <v>0</v>
      </c>
      <c r="J21" s="97">
        <v>1</v>
      </c>
      <c r="K21" s="97">
        <v>1</v>
      </c>
      <c r="L21" s="97">
        <v>1</v>
      </c>
      <c r="M21" s="97">
        <f>SUM(H21:L21)</f>
        <v>4</v>
      </c>
      <c r="N21" s="99">
        <f t="shared" si="3"/>
        <v>1.075268817204301</v>
      </c>
      <c r="O21" s="97">
        <v>1</v>
      </c>
      <c r="P21" s="97">
        <v>0</v>
      </c>
      <c r="Q21" s="97">
        <v>1</v>
      </c>
      <c r="R21" s="97">
        <v>0</v>
      </c>
      <c r="S21" s="97">
        <f>Münster14!D21</f>
        <v>0</v>
      </c>
      <c r="T21" s="97">
        <f>SUM(O21:S21)</f>
        <v>2</v>
      </c>
      <c r="U21" s="99">
        <f t="shared" si="0"/>
        <v>0.5376344086021505</v>
      </c>
      <c r="V21" s="97">
        <f>Arnsberg14!E21</f>
        <v>0</v>
      </c>
      <c r="W21" s="97">
        <f>Detmold14!E21</f>
        <v>0</v>
      </c>
      <c r="X21" s="97">
        <v>1</v>
      </c>
      <c r="Y21" s="97">
        <f>Kölle14!E21</f>
        <v>0</v>
      </c>
      <c r="Z21" s="97">
        <v>0</v>
      </c>
      <c r="AA21" s="97">
        <f>SUM(V21:Z21)</f>
        <v>1</v>
      </c>
      <c r="AB21" s="99">
        <f t="shared" si="1"/>
        <v>0.26881720430107525</v>
      </c>
      <c r="AC21" s="101">
        <f>Arnsberg14!F21+Detmold14!F21+Düsseldorf14!F21+Kölle14!F21+Münster14!F21</f>
        <v>0</v>
      </c>
      <c r="AD21" s="101">
        <v>0</v>
      </c>
      <c r="AE21" s="101">
        <v>16</v>
      </c>
    </row>
    <row r="22" spans="1:34" ht="14.4" thickBot="1" x14ac:dyDescent="0.3">
      <c r="A22" s="89" t="s">
        <v>12</v>
      </c>
      <c r="B22" s="97">
        <v>1251</v>
      </c>
      <c r="C22" s="97">
        <v>485</v>
      </c>
      <c r="D22" s="97">
        <v>1670</v>
      </c>
      <c r="E22" s="97">
        <v>1471</v>
      </c>
      <c r="F22" s="97">
        <v>732</v>
      </c>
      <c r="G22" s="98">
        <f t="shared" si="6"/>
        <v>5609</v>
      </c>
      <c r="H22" s="97">
        <v>1</v>
      </c>
      <c r="I22" s="97">
        <v>3</v>
      </c>
      <c r="J22" s="97">
        <v>0</v>
      </c>
      <c r="K22" s="97">
        <v>1</v>
      </c>
      <c r="L22" s="97">
        <v>3</v>
      </c>
      <c r="M22" s="97">
        <f>SUM(H22:L22)</f>
        <v>8</v>
      </c>
      <c r="N22" s="99">
        <f t="shared" si="3"/>
        <v>0.14262791941522554</v>
      </c>
      <c r="O22" s="97">
        <v>3</v>
      </c>
      <c r="P22" s="97">
        <v>3</v>
      </c>
      <c r="Q22" s="97">
        <v>7</v>
      </c>
      <c r="R22" s="97">
        <v>7</v>
      </c>
      <c r="S22" s="97">
        <v>6</v>
      </c>
      <c r="T22" s="97">
        <f>SUM(O22:S22)</f>
        <v>26</v>
      </c>
      <c r="U22" s="99">
        <f t="shared" si="0"/>
        <v>0.46354073809948299</v>
      </c>
      <c r="V22" s="97">
        <v>2</v>
      </c>
      <c r="W22" s="97">
        <v>1</v>
      </c>
      <c r="X22" s="97">
        <v>5</v>
      </c>
      <c r="Y22" s="97">
        <v>1</v>
      </c>
      <c r="Z22" s="97">
        <v>1</v>
      </c>
      <c r="AA22" s="97">
        <f>SUM(V22:Z22)</f>
        <v>10</v>
      </c>
      <c r="AB22" s="99">
        <f t="shared" si="1"/>
        <v>0.1782848992690319</v>
      </c>
      <c r="AC22" s="101">
        <v>6</v>
      </c>
      <c r="AD22" s="101">
        <v>2</v>
      </c>
      <c r="AE22" s="101">
        <v>70</v>
      </c>
    </row>
    <row r="23" spans="1:34" ht="14.4" thickBot="1" x14ac:dyDescent="0.3">
      <c r="A23" s="89" t="s">
        <v>13</v>
      </c>
      <c r="B23" s="97">
        <v>14</v>
      </c>
      <c r="C23" s="97">
        <v>1</v>
      </c>
      <c r="D23" s="97">
        <v>4</v>
      </c>
      <c r="E23" s="97">
        <v>5</v>
      </c>
      <c r="F23" s="97">
        <v>4</v>
      </c>
      <c r="G23" s="98">
        <f t="shared" si="6"/>
        <v>28</v>
      </c>
      <c r="H23" s="97">
        <v>1</v>
      </c>
      <c r="I23" s="97">
        <f>Detmold14!C23</f>
        <v>0</v>
      </c>
      <c r="J23" s="97">
        <f>Düsseldorf14!C23</f>
        <v>0</v>
      </c>
      <c r="K23" s="97">
        <f>Kölle14!C23</f>
        <v>0</v>
      </c>
      <c r="L23" s="97">
        <f>Münster14!C23</f>
        <v>0</v>
      </c>
      <c r="M23" s="97">
        <f>SUM(H23:L23)</f>
        <v>1</v>
      </c>
      <c r="N23" s="99">
        <f t="shared" si="3"/>
        <v>3.5714285714285716</v>
      </c>
      <c r="O23" s="97">
        <v>1</v>
      </c>
      <c r="P23" s="97">
        <f>Detmold14!D23</f>
        <v>0</v>
      </c>
      <c r="Q23" s="97">
        <v>0</v>
      </c>
      <c r="R23" s="97">
        <v>0</v>
      </c>
      <c r="S23" s="97">
        <f>Münster14!D23</f>
        <v>0</v>
      </c>
      <c r="T23" s="97">
        <f>SUM(O23:S23)</f>
        <v>1</v>
      </c>
      <c r="U23" s="99">
        <f t="shared" si="0"/>
        <v>3.5714285714285716</v>
      </c>
      <c r="V23" s="97">
        <f>Arnsberg14!E23</f>
        <v>0</v>
      </c>
      <c r="W23" s="97">
        <f>Detmold14!E23</f>
        <v>0</v>
      </c>
      <c r="X23" s="97">
        <v>1</v>
      </c>
      <c r="Y23" s="97">
        <f>Kölle14!E23</f>
        <v>0</v>
      </c>
      <c r="Z23" s="97">
        <f>Münster14!E23</f>
        <v>0</v>
      </c>
      <c r="AA23" s="97">
        <f>SUM(V23:Z23)</f>
        <v>1</v>
      </c>
      <c r="AB23" s="99">
        <f t="shared" si="1"/>
        <v>3.5714285714285716</v>
      </c>
      <c r="AC23" s="101">
        <v>0</v>
      </c>
      <c r="AD23" s="101">
        <f>Arnsberg14!G23+Detmold14!G23+Düsseldorf14!G23+Kölle14!G23+Münster14!G23</f>
        <v>0</v>
      </c>
      <c r="AE23" s="101">
        <v>5</v>
      </c>
    </row>
    <row r="24" spans="1:34" ht="23.4" thickBot="1" x14ac:dyDescent="0.3">
      <c r="A24" s="139" t="s">
        <v>23</v>
      </c>
      <c r="B24" s="110">
        <v>535</v>
      </c>
      <c r="C24" s="110">
        <v>158</v>
      </c>
      <c r="D24" s="97">
        <v>581</v>
      </c>
      <c r="E24" s="110">
        <v>686</v>
      </c>
      <c r="F24" s="97">
        <v>418</v>
      </c>
      <c r="G24" s="98">
        <f t="shared" si="6"/>
        <v>2378</v>
      </c>
      <c r="H24" s="110">
        <v>1</v>
      </c>
      <c r="I24" s="97">
        <f>Detmold14!C24</f>
        <v>0</v>
      </c>
      <c r="J24" s="97">
        <v>1</v>
      </c>
      <c r="K24" s="97">
        <v>0</v>
      </c>
      <c r="L24" s="97">
        <v>0</v>
      </c>
      <c r="M24" s="97">
        <f>SUM(H24:L24)</f>
        <v>2</v>
      </c>
      <c r="N24" s="99">
        <f t="shared" si="3"/>
        <v>8.4104289318755257E-2</v>
      </c>
      <c r="O24" s="110">
        <v>1</v>
      </c>
      <c r="P24" s="97">
        <v>0</v>
      </c>
      <c r="Q24" s="110">
        <v>4</v>
      </c>
      <c r="R24" s="110">
        <v>1</v>
      </c>
      <c r="S24" s="97">
        <v>2</v>
      </c>
      <c r="T24" s="97">
        <f>SUM(O24:S24)</f>
        <v>8</v>
      </c>
      <c r="U24" s="99">
        <f t="shared" si="0"/>
        <v>0.33641715727502103</v>
      </c>
      <c r="V24" s="110">
        <f>Arnsberg14!E24</f>
        <v>0</v>
      </c>
      <c r="W24" s="110">
        <v>0</v>
      </c>
      <c r="X24" s="110">
        <v>1</v>
      </c>
      <c r="Y24" s="110">
        <v>0</v>
      </c>
      <c r="Z24" s="110">
        <f>Münster14!E24</f>
        <v>0</v>
      </c>
      <c r="AA24" s="97">
        <f>SUM(V24:Z24)</f>
        <v>1</v>
      </c>
      <c r="AB24" s="99">
        <f t="shared" si="1"/>
        <v>4.2052144659377629E-2</v>
      </c>
      <c r="AC24" s="101">
        <v>4</v>
      </c>
      <c r="AD24" s="101">
        <v>3</v>
      </c>
      <c r="AE24" s="101">
        <v>7</v>
      </c>
    </row>
    <row r="25" spans="1:34" s="132" customFormat="1" ht="14.4" thickBot="1" x14ac:dyDescent="0.3">
      <c r="A25" s="128" t="s">
        <v>22</v>
      </c>
      <c r="B25" s="111">
        <f t="shared" ref="B25:I25" si="10">SUM(B14:B24)</f>
        <v>2257</v>
      </c>
      <c r="C25" s="111">
        <f t="shared" si="10"/>
        <v>763</v>
      </c>
      <c r="D25" s="111">
        <f t="shared" si="10"/>
        <v>2744</v>
      </c>
      <c r="E25" s="111">
        <f t="shared" si="10"/>
        <v>2750</v>
      </c>
      <c r="F25" s="111">
        <f t="shared" si="10"/>
        <v>1359</v>
      </c>
      <c r="G25" s="102">
        <f t="shared" si="10"/>
        <v>9873</v>
      </c>
      <c r="H25" s="111">
        <f t="shared" si="10"/>
        <v>5</v>
      </c>
      <c r="I25" s="111">
        <f t="shared" si="10"/>
        <v>3</v>
      </c>
      <c r="J25" s="111">
        <f>SUM(J14:J24)</f>
        <v>3</v>
      </c>
      <c r="K25" s="111">
        <f t="shared" ref="K25:L25" si="11">SUM(K14:K24)</f>
        <v>4</v>
      </c>
      <c r="L25" s="111">
        <f t="shared" si="11"/>
        <v>4</v>
      </c>
      <c r="M25" s="103">
        <f>SUM(M14:M24)</f>
        <v>19</v>
      </c>
      <c r="N25" s="104">
        <f t="shared" si="3"/>
        <v>0.19244403929909856</v>
      </c>
      <c r="O25" s="111">
        <f t="shared" ref="O25:T25" si="12">SUM(O14:O24)</f>
        <v>9</v>
      </c>
      <c r="P25" s="111">
        <f t="shared" si="12"/>
        <v>3</v>
      </c>
      <c r="Q25" s="111">
        <f t="shared" si="12"/>
        <v>17</v>
      </c>
      <c r="R25" s="111">
        <f>SUM(R14:R24)</f>
        <v>12</v>
      </c>
      <c r="S25" s="111">
        <f t="shared" si="12"/>
        <v>10</v>
      </c>
      <c r="T25" s="103">
        <f t="shared" si="12"/>
        <v>51</v>
      </c>
      <c r="U25" s="104">
        <f t="shared" si="0"/>
        <v>0.51656031601336982</v>
      </c>
      <c r="V25" s="111">
        <f t="shared" ref="V25:AA25" si="13">SUM(V14:V24)</f>
        <v>2</v>
      </c>
      <c r="W25" s="111">
        <f t="shared" si="13"/>
        <v>1</v>
      </c>
      <c r="X25" s="111">
        <f t="shared" si="13"/>
        <v>10</v>
      </c>
      <c r="Y25" s="111">
        <f t="shared" si="13"/>
        <v>1</v>
      </c>
      <c r="Z25" s="111">
        <f t="shared" si="13"/>
        <v>1</v>
      </c>
      <c r="AA25" s="103">
        <f t="shared" si="13"/>
        <v>15</v>
      </c>
      <c r="AB25" s="104">
        <f t="shared" si="1"/>
        <v>0.15192950470981464</v>
      </c>
      <c r="AC25" s="107">
        <f>SUM(AC14:AC24)</f>
        <v>10</v>
      </c>
      <c r="AD25" s="107">
        <f>SUM(AD14:AD24)</f>
        <v>5</v>
      </c>
      <c r="AE25" s="107">
        <f>SUM(AE14:AE24)</f>
        <v>143</v>
      </c>
    </row>
    <row r="26" spans="1:34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4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4" ht="14.4" thickBot="1" x14ac:dyDescent="0.3">
      <c r="A28" s="89" t="s">
        <v>15</v>
      </c>
      <c r="B28" s="97">
        <v>3115</v>
      </c>
      <c r="C28" s="97">
        <v>1810</v>
      </c>
      <c r="D28" s="97">
        <v>3518</v>
      </c>
      <c r="E28" s="97">
        <v>3417</v>
      </c>
      <c r="F28" s="97">
        <v>3053</v>
      </c>
      <c r="G28" s="98">
        <f>SUM(B28:F28)</f>
        <v>14913</v>
      </c>
      <c r="H28" s="97">
        <v>0</v>
      </c>
      <c r="I28" s="97">
        <v>2</v>
      </c>
      <c r="J28" s="97">
        <v>2</v>
      </c>
      <c r="K28" s="97">
        <v>5</v>
      </c>
      <c r="L28" s="97">
        <v>1</v>
      </c>
      <c r="M28" s="97">
        <f t="shared" ref="M28:M36" si="14">SUM(H28:L28)</f>
        <v>10</v>
      </c>
      <c r="N28" s="99">
        <f t="shared" si="3"/>
        <v>6.7055589083350103E-2</v>
      </c>
      <c r="O28" s="97">
        <v>6</v>
      </c>
      <c r="P28" s="97">
        <v>1</v>
      </c>
      <c r="Q28" s="97">
        <v>4</v>
      </c>
      <c r="R28" s="97">
        <v>4</v>
      </c>
      <c r="S28" s="97">
        <v>0</v>
      </c>
      <c r="T28" s="97">
        <f>SUM(O28:S28)</f>
        <v>15</v>
      </c>
      <c r="U28" s="99">
        <f t="shared" si="0"/>
        <v>0.10058338362502514</v>
      </c>
      <c r="V28" s="97">
        <v>0</v>
      </c>
      <c r="W28" s="97">
        <v>1</v>
      </c>
      <c r="X28" s="97">
        <v>0</v>
      </c>
      <c r="Y28" s="97">
        <v>0</v>
      </c>
      <c r="Z28" s="97">
        <v>0</v>
      </c>
      <c r="AA28" s="97">
        <f t="shared" ref="AA28:AA36" si="15">SUM(V28:Z28)</f>
        <v>1</v>
      </c>
      <c r="AB28" s="99">
        <f t="shared" si="1"/>
        <v>6.70555890833501E-3</v>
      </c>
      <c r="AC28" s="101">
        <v>5</v>
      </c>
      <c r="AD28" s="101">
        <v>2</v>
      </c>
      <c r="AE28" s="101">
        <v>48</v>
      </c>
    </row>
    <row r="29" spans="1:34" ht="14.4" thickBot="1" x14ac:dyDescent="0.3">
      <c r="A29" s="89" t="s">
        <v>16</v>
      </c>
      <c r="B29" s="97">
        <v>1299</v>
      </c>
      <c r="C29" s="97">
        <v>830</v>
      </c>
      <c r="D29" s="97">
        <v>1744</v>
      </c>
      <c r="E29" s="97">
        <v>1492</v>
      </c>
      <c r="F29" s="97">
        <v>999</v>
      </c>
      <c r="G29" s="98">
        <f t="shared" ref="G29:G36" si="16">SUM(B29:F29)</f>
        <v>6364</v>
      </c>
      <c r="H29" s="97">
        <v>1</v>
      </c>
      <c r="I29" s="97">
        <v>2</v>
      </c>
      <c r="J29" s="97">
        <v>7</v>
      </c>
      <c r="K29" s="97">
        <v>3</v>
      </c>
      <c r="L29" s="97">
        <v>5</v>
      </c>
      <c r="M29" s="97">
        <f t="shared" si="14"/>
        <v>18</v>
      </c>
      <c r="N29" s="99">
        <f t="shared" si="3"/>
        <v>0.28284098051539913</v>
      </c>
      <c r="O29" s="97">
        <v>2</v>
      </c>
      <c r="P29" s="97">
        <v>2</v>
      </c>
      <c r="Q29" s="97">
        <v>6</v>
      </c>
      <c r="R29" s="97">
        <v>3</v>
      </c>
      <c r="S29" s="97">
        <v>5</v>
      </c>
      <c r="T29" s="97">
        <f t="shared" ref="T29:T36" si="17">SUM(O29:S29)</f>
        <v>18</v>
      </c>
      <c r="U29" s="99">
        <f t="shared" si="0"/>
        <v>0.28284098051539913</v>
      </c>
      <c r="V29" s="97">
        <v>0</v>
      </c>
      <c r="W29" s="97">
        <v>0</v>
      </c>
      <c r="X29" s="97">
        <v>3</v>
      </c>
      <c r="Y29" s="97">
        <v>1</v>
      </c>
      <c r="Z29" s="97">
        <v>0</v>
      </c>
      <c r="AA29" s="97">
        <f t="shared" si="15"/>
        <v>4</v>
      </c>
      <c r="AB29" s="99">
        <f t="shared" si="1"/>
        <v>6.2853551225644247E-2</v>
      </c>
      <c r="AC29" s="101">
        <v>7</v>
      </c>
      <c r="AD29" s="101">
        <v>1</v>
      </c>
      <c r="AE29" s="101">
        <v>45</v>
      </c>
    </row>
    <row r="30" spans="1:34" ht="14.4" thickBot="1" x14ac:dyDescent="0.3">
      <c r="A30" s="89" t="s">
        <v>34</v>
      </c>
      <c r="B30" s="97">
        <v>1011</v>
      </c>
      <c r="C30" s="97">
        <v>640</v>
      </c>
      <c r="D30" s="97">
        <v>882</v>
      </c>
      <c r="E30" s="97">
        <v>841</v>
      </c>
      <c r="F30" s="97">
        <v>1378</v>
      </c>
      <c r="G30" s="98">
        <f t="shared" si="16"/>
        <v>4752</v>
      </c>
      <c r="H30" s="97">
        <v>2</v>
      </c>
      <c r="I30" s="97">
        <v>1</v>
      </c>
      <c r="J30" s="97">
        <v>5</v>
      </c>
      <c r="K30" s="97">
        <v>0</v>
      </c>
      <c r="L30" s="97">
        <v>1</v>
      </c>
      <c r="M30" s="97">
        <f t="shared" si="14"/>
        <v>9</v>
      </c>
      <c r="N30" s="99">
        <f t="shared" si="3"/>
        <v>0.18939393939393939</v>
      </c>
      <c r="O30" s="97">
        <v>3</v>
      </c>
      <c r="P30" s="97">
        <v>3</v>
      </c>
      <c r="Q30" s="97">
        <v>8</v>
      </c>
      <c r="R30" s="97">
        <v>5</v>
      </c>
      <c r="S30" s="97">
        <v>5</v>
      </c>
      <c r="T30" s="97">
        <f t="shared" si="17"/>
        <v>24</v>
      </c>
      <c r="U30" s="99">
        <f t="shared" si="0"/>
        <v>0.50505050505050508</v>
      </c>
      <c r="V30" s="97">
        <v>0</v>
      </c>
      <c r="W30" s="97">
        <v>0</v>
      </c>
      <c r="X30" s="97">
        <v>1</v>
      </c>
      <c r="Y30" s="97">
        <v>0</v>
      </c>
      <c r="Z30" s="97">
        <v>0</v>
      </c>
      <c r="AA30" s="97">
        <f t="shared" si="15"/>
        <v>1</v>
      </c>
      <c r="AB30" s="99">
        <f t="shared" si="1"/>
        <v>2.1043771043771045E-2</v>
      </c>
      <c r="AC30" s="101">
        <v>5</v>
      </c>
      <c r="AD30" s="101">
        <v>0</v>
      </c>
      <c r="AE30" s="101">
        <v>23</v>
      </c>
    </row>
    <row r="31" spans="1:34" ht="14.4" thickBot="1" x14ac:dyDescent="0.3">
      <c r="A31" s="89" t="s">
        <v>17</v>
      </c>
      <c r="B31" s="97">
        <v>6211</v>
      </c>
      <c r="C31" s="97">
        <v>3971</v>
      </c>
      <c r="D31" s="97">
        <v>8662</v>
      </c>
      <c r="E31" s="97">
        <v>7444</v>
      </c>
      <c r="F31" s="97">
        <v>6173</v>
      </c>
      <c r="G31" s="98">
        <f t="shared" si="16"/>
        <v>32461</v>
      </c>
      <c r="H31" s="97">
        <v>4</v>
      </c>
      <c r="I31" s="97">
        <v>1</v>
      </c>
      <c r="J31" s="97">
        <v>4</v>
      </c>
      <c r="K31" s="97">
        <v>5</v>
      </c>
      <c r="L31" s="97">
        <v>2</v>
      </c>
      <c r="M31" s="97">
        <f t="shared" si="14"/>
        <v>16</v>
      </c>
      <c r="N31" s="99">
        <f t="shared" si="3"/>
        <v>4.928991713132682E-2</v>
      </c>
      <c r="O31" s="97">
        <v>2</v>
      </c>
      <c r="P31" s="97">
        <v>0</v>
      </c>
      <c r="Q31" s="97">
        <v>1</v>
      </c>
      <c r="R31" s="97">
        <v>6</v>
      </c>
      <c r="S31" s="97">
        <v>1</v>
      </c>
      <c r="T31" s="97">
        <f t="shared" si="17"/>
        <v>10</v>
      </c>
      <c r="U31" s="99">
        <f t="shared" si="0"/>
        <v>3.0806198207079263E-2</v>
      </c>
      <c r="V31" s="97">
        <v>2</v>
      </c>
      <c r="W31" s="97">
        <v>2</v>
      </c>
      <c r="X31" s="97">
        <v>2</v>
      </c>
      <c r="Y31" s="97">
        <v>1</v>
      </c>
      <c r="Z31" s="97">
        <v>0</v>
      </c>
      <c r="AA31" s="97">
        <f t="shared" si="15"/>
        <v>7</v>
      </c>
      <c r="AB31" s="99">
        <f t="shared" si="1"/>
        <v>2.1564338744955485E-2</v>
      </c>
      <c r="AC31" s="101">
        <v>2</v>
      </c>
      <c r="AD31" s="101">
        <v>0</v>
      </c>
      <c r="AE31" s="101">
        <v>94</v>
      </c>
      <c r="AH31" t="s">
        <v>52</v>
      </c>
    </row>
    <row r="32" spans="1:34" ht="14.4" thickBot="1" x14ac:dyDescent="0.3">
      <c r="A32" s="89" t="s">
        <v>18</v>
      </c>
      <c r="B32" s="97">
        <v>1686</v>
      </c>
      <c r="C32" s="97">
        <v>1360</v>
      </c>
      <c r="D32" s="97">
        <v>1517</v>
      </c>
      <c r="E32" s="97">
        <v>1363</v>
      </c>
      <c r="F32" s="97">
        <v>3271</v>
      </c>
      <c r="G32" s="98">
        <f t="shared" si="16"/>
        <v>9197</v>
      </c>
      <c r="H32" s="97">
        <v>2</v>
      </c>
      <c r="I32" s="97">
        <v>1</v>
      </c>
      <c r="J32" s="97">
        <v>0</v>
      </c>
      <c r="K32" s="97">
        <v>0</v>
      </c>
      <c r="L32" s="97">
        <v>2</v>
      </c>
      <c r="M32" s="97">
        <f t="shared" si="14"/>
        <v>5</v>
      </c>
      <c r="N32" s="99">
        <f t="shared" si="3"/>
        <v>5.436555398499511E-2</v>
      </c>
      <c r="O32" s="97">
        <v>2</v>
      </c>
      <c r="P32" s="97">
        <v>2</v>
      </c>
      <c r="Q32" s="97">
        <v>2</v>
      </c>
      <c r="R32" s="97">
        <v>1</v>
      </c>
      <c r="S32" s="97">
        <v>6</v>
      </c>
      <c r="T32" s="97">
        <f t="shared" si="17"/>
        <v>13</v>
      </c>
      <c r="U32" s="99">
        <f t="shared" si="0"/>
        <v>0.14135044036098729</v>
      </c>
      <c r="V32" s="97">
        <v>1</v>
      </c>
      <c r="W32" s="97">
        <v>2</v>
      </c>
      <c r="X32" s="97">
        <v>4</v>
      </c>
      <c r="Y32" s="97">
        <v>0</v>
      </c>
      <c r="Z32" s="97">
        <v>3</v>
      </c>
      <c r="AA32" s="97">
        <f t="shared" si="15"/>
        <v>10</v>
      </c>
      <c r="AB32" s="99">
        <f t="shared" si="1"/>
        <v>0.10873110796999022</v>
      </c>
      <c r="AC32" s="101">
        <v>3</v>
      </c>
      <c r="AD32" s="101">
        <v>2</v>
      </c>
      <c r="AE32" s="101">
        <v>25</v>
      </c>
    </row>
    <row r="33" spans="1:32" ht="14.4" thickBot="1" x14ac:dyDescent="0.3">
      <c r="A33" s="89" t="s">
        <v>19</v>
      </c>
      <c r="B33" s="97">
        <v>9281</v>
      </c>
      <c r="C33" s="97">
        <v>5465</v>
      </c>
      <c r="D33" s="97">
        <v>11775</v>
      </c>
      <c r="E33" s="97">
        <v>9671</v>
      </c>
      <c r="F33" s="97">
        <v>7093</v>
      </c>
      <c r="G33" s="98">
        <f t="shared" si="16"/>
        <v>43285</v>
      </c>
      <c r="H33" s="97">
        <v>24</v>
      </c>
      <c r="I33" s="97">
        <v>12</v>
      </c>
      <c r="J33" s="97">
        <v>47</v>
      </c>
      <c r="K33" s="97">
        <v>13</v>
      </c>
      <c r="L33" s="97">
        <v>14</v>
      </c>
      <c r="M33" s="97">
        <f t="shared" si="14"/>
        <v>110</v>
      </c>
      <c r="N33" s="99">
        <f t="shared" si="3"/>
        <v>0.25412960609911056</v>
      </c>
      <c r="O33" s="97">
        <v>36</v>
      </c>
      <c r="P33" s="97">
        <v>29</v>
      </c>
      <c r="Q33" s="97">
        <v>43</v>
      </c>
      <c r="R33" s="97">
        <v>25</v>
      </c>
      <c r="S33" s="97">
        <v>17</v>
      </c>
      <c r="T33" s="97">
        <f t="shared" si="17"/>
        <v>150</v>
      </c>
      <c r="U33" s="99">
        <f t="shared" si="0"/>
        <v>0.34654037195333254</v>
      </c>
      <c r="V33" s="97">
        <v>9</v>
      </c>
      <c r="W33" s="97">
        <v>6</v>
      </c>
      <c r="X33" s="97">
        <v>21</v>
      </c>
      <c r="Y33" s="97">
        <v>7</v>
      </c>
      <c r="Z33" s="97">
        <v>7</v>
      </c>
      <c r="AA33" s="97">
        <f t="shared" si="15"/>
        <v>50</v>
      </c>
      <c r="AB33" s="99">
        <f t="shared" si="1"/>
        <v>0.11551345731777753</v>
      </c>
      <c r="AC33" s="101">
        <v>48</v>
      </c>
      <c r="AD33" s="101">
        <v>17</v>
      </c>
      <c r="AE33" s="101">
        <v>353</v>
      </c>
    </row>
    <row r="34" spans="1:32" ht="14.4" thickBot="1" x14ac:dyDescent="0.3">
      <c r="A34" s="89" t="s">
        <v>20</v>
      </c>
      <c r="B34" s="97">
        <v>7451</v>
      </c>
      <c r="C34" s="97">
        <v>4419</v>
      </c>
      <c r="D34" s="97">
        <v>9363</v>
      </c>
      <c r="E34" s="97">
        <v>8890</v>
      </c>
      <c r="F34" s="97">
        <v>4790</v>
      </c>
      <c r="G34" s="98">
        <f t="shared" si="16"/>
        <v>34913</v>
      </c>
      <c r="H34" s="97">
        <v>13</v>
      </c>
      <c r="I34" s="97">
        <v>8</v>
      </c>
      <c r="J34" s="97">
        <v>20</v>
      </c>
      <c r="K34" s="97">
        <v>12</v>
      </c>
      <c r="L34" s="97">
        <v>7</v>
      </c>
      <c r="M34" s="97">
        <f t="shared" si="14"/>
        <v>60</v>
      </c>
      <c r="N34" s="99">
        <f t="shared" si="3"/>
        <v>0.17185575573568584</v>
      </c>
      <c r="O34" s="97">
        <v>13</v>
      </c>
      <c r="P34" s="97">
        <v>9</v>
      </c>
      <c r="Q34" s="97">
        <v>21</v>
      </c>
      <c r="R34" s="97">
        <v>19</v>
      </c>
      <c r="S34" s="97">
        <v>5</v>
      </c>
      <c r="T34" s="97">
        <f t="shared" si="17"/>
        <v>67</v>
      </c>
      <c r="U34" s="99">
        <f t="shared" si="0"/>
        <v>0.19190559390484921</v>
      </c>
      <c r="V34" s="97">
        <v>5</v>
      </c>
      <c r="W34" s="97">
        <v>1</v>
      </c>
      <c r="X34" s="97">
        <v>11</v>
      </c>
      <c r="Y34" s="97">
        <v>0</v>
      </c>
      <c r="Z34" s="97">
        <v>5</v>
      </c>
      <c r="AA34" s="97">
        <f t="shared" si="15"/>
        <v>22</v>
      </c>
      <c r="AB34" s="99">
        <f t="shared" si="1"/>
        <v>6.3013777103084812E-2</v>
      </c>
      <c r="AC34" s="101">
        <v>22</v>
      </c>
      <c r="AD34" s="101">
        <v>10</v>
      </c>
      <c r="AE34" s="101">
        <v>243</v>
      </c>
    </row>
    <row r="35" spans="1:32" ht="14.4" thickBot="1" x14ac:dyDescent="0.3">
      <c r="A35" s="89" t="s">
        <v>25</v>
      </c>
      <c r="B35" s="97">
        <v>247</v>
      </c>
      <c r="C35" s="97">
        <v>339</v>
      </c>
      <c r="D35" s="97">
        <v>111</v>
      </c>
      <c r="E35" s="97">
        <v>87</v>
      </c>
      <c r="F35" s="97">
        <v>58</v>
      </c>
      <c r="G35" s="98">
        <f t="shared" si="16"/>
        <v>842</v>
      </c>
      <c r="H35" s="97">
        <v>0</v>
      </c>
      <c r="I35" s="97">
        <v>1</v>
      </c>
      <c r="J35" s="97">
        <v>1</v>
      </c>
      <c r="K35" s="97">
        <v>1</v>
      </c>
      <c r="L35" s="97">
        <v>0</v>
      </c>
      <c r="M35" s="97">
        <f t="shared" si="14"/>
        <v>3</v>
      </c>
      <c r="N35" s="99">
        <f t="shared" si="3"/>
        <v>0.35629453681710216</v>
      </c>
      <c r="O35" s="97">
        <v>3</v>
      </c>
      <c r="P35" s="97">
        <v>0</v>
      </c>
      <c r="Q35" s="97">
        <v>1</v>
      </c>
      <c r="R35" s="97">
        <v>2</v>
      </c>
      <c r="S35" s="97">
        <v>0</v>
      </c>
      <c r="T35" s="97">
        <f t="shared" si="17"/>
        <v>6</v>
      </c>
      <c r="U35" s="99">
        <f t="shared" si="0"/>
        <v>0.71258907363420432</v>
      </c>
      <c r="V35" s="97">
        <v>0</v>
      </c>
      <c r="W35" s="97">
        <v>0</v>
      </c>
      <c r="X35" s="97">
        <v>0</v>
      </c>
      <c r="Y35" s="97">
        <v>1</v>
      </c>
      <c r="Z35" s="97">
        <v>0</v>
      </c>
      <c r="AA35" s="97">
        <f t="shared" si="15"/>
        <v>1</v>
      </c>
      <c r="AB35" s="99">
        <f t="shared" si="1"/>
        <v>0.11876484560570071</v>
      </c>
      <c r="AC35" s="101">
        <v>8</v>
      </c>
      <c r="AD35" s="101">
        <v>1</v>
      </c>
      <c r="AE35" s="101">
        <v>42</v>
      </c>
    </row>
    <row r="36" spans="1:32" ht="14.4" thickBot="1" x14ac:dyDescent="0.3">
      <c r="A36" s="89" t="s">
        <v>26</v>
      </c>
      <c r="B36" s="97">
        <v>76366</v>
      </c>
      <c r="C36" s="97">
        <v>50796</v>
      </c>
      <c r="D36" s="97">
        <v>110645</v>
      </c>
      <c r="E36" s="97">
        <v>98136</v>
      </c>
      <c r="F36" s="97">
        <v>65286</v>
      </c>
      <c r="G36" s="98">
        <f t="shared" si="16"/>
        <v>401229</v>
      </c>
      <c r="H36" s="97">
        <v>127</v>
      </c>
      <c r="I36" s="97">
        <v>47</v>
      </c>
      <c r="J36" s="97">
        <v>203</v>
      </c>
      <c r="K36" s="97">
        <v>88</v>
      </c>
      <c r="L36" s="97">
        <v>65</v>
      </c>
      <c r="M36" s="97">
        <f t="shared" si="14"/>
        <v>530</v>
      </c>
      <c r="N36" s="99">
        <f t="shared" si="3"/>
        <v>0.13209414075253784</v>
      </c>
      <c r="O36" s="97">
        <v>171</v>
      </c>
      <c r="P36" s="97">
        <v>89</v>
      </c>
      <c r="Q36" s="97">
        <v>250</v>
      </c>
      <c r="R36" s="97">
        <v>141</v>
      </c>
      <c r="S36" s="97">
        <v>71</v>
      </c>
      <c r="T36" s="97">
        <f t="shared" si="17"/>
        <v>722</v>
      </c>
      <c r="U36" s="99">
        <f t="shared" si="0"/>
        <v>0.17994711249685341</v>
      </c>
      <c r="V36" s="97">
        <v>183</v>
      </c>
      <c r="W36" s="97">
        <v>15</v>
      </c>
      <c r="X36" s="97">
        <v>123</v>
      </c>
      <c r="Y36" s="97">
        <v>28</v>
      </c>
      <c r="Z36" s="97">
        <v>41</v>
      </c>
      <c r="AA36" s="97">
        <f t="shared" si="15"/>
        <v>390</v>
      </c>
      <c r="AB36" s="99">
        <f t="shared" si="1"/>
        <v>9.7201348855641037E-2</v>
      </c>
      <c r="AC36" s="101">
        <v>127</v>
      </c>
      <c r="AD36" s="101">
        <v>86</v>
      </c>
      <c r="AE36" s="97">
        <v>2905</v>
      </c>
    </row>
    <row r="37" spans="1:32" s="132" customFormat="1" ht="14.4" thickBot="1" x14ac:dyDescent="0.3">
      <c r="A37" s="128" t="s">
        <v>21</v>
      </c>
      <c r="B37" s="111">
        <f t="shared" ref="B37:M37" si="18">SUM(B28:B36)</f>
        <v>106667</v>
      </c>
      <c r="C37" s="111">
        <f t="shared" si="18"/>
        <v>69630</v>
      </c>
      <c r="D37" s="111">
        <f t="shared" si="18"/>
        <v>148217</v>
      </c>
      <c r="E37" s="111">
        <f>SUM(E28:E36)</f>
        <v>131341</v>
      </c>
      <c r="F37" s="111">
        <f t="shared" si="18"/>
        <v>92101</v>
      </c>
      <c r="G37" s="102">
        <f t="shared" si="18"/>
        <v>547956</v>
      </c>
      <c r="H37" s="111">
        <f t="shared" si="18"/>
        <v>173</v>
      </c>
      <c r="I37" s="111">
        <f t="shared" si="18"/>
        <v>75</v>
      </c>
      <c r="J37" s="111">
        <f t="shared" si="18"/>
        <v>289</v>
      </c>
      <c r="K37" s="111">
        <f>SUM(K28:K36)</f>
        <v>127</v>
      </c>
      <c r="L37" s="111">
        <f t="shared" si="18"/>
        <v>97</v>
      </c>
      <c r="M37" s="103">
        <f t="shared" si="18"/>
        <v>761</v>
      </c>
      <c r="N37" s="104">
        <f t="shared" si="3"/>
        <v>0.13887976406864785</v>
      </c>
      <c r="O37" s="111">
        <f t="shared" ref="O37:T37" si="19">SUM(O28:O36)</f>
        <v>238</v>
      </c>
      <c r="P37" s="111">
        <f t="shared" si="19"/>
        <v>135</v>
      </c>
      <c r="Q37" s="111">
        <f t="shared" si="19"/>
        <v>336</v>
      </c>
      <c r="R37" s="111">
        <f>SUM(R28:R36)</f>
        <v>206</v>
      </c>
      <c r="S37" s="111">
        <f t="shared" si="19"/>
        <v>110</v>
      </c>
      <c r="T37" s="103">
        <f t="shared" si="19"/>
        <v>1025</v>
      </c>
      <c r="U37" s="104">
        <f t="shared" si="0"/>
        <v>0.18705881494134566</v>
      </c>
      <c r="V37" s="111">
        <f t="shared" ref="V37:AA37" si="20">SUM(V28:V36)</f>
        <v>200</v>
      </c>
      <c r="W37" s="111">
        <f t="shared" si="20"/>
        <v>27</v>
      </c>
      <c r="X37" s="111">
        <f t="shared" si="20"/>
        <v>165</v>
      </c>
      <c r="Y37" s="111">
        <f>SUM(Y28:Y36)</f>
        <v>38</v>
      </c>
      <c r="Z37" s="111">
        <f t="shared" si="20"/>
        <v>56</v>
      </c>
      <c r="AA37" s="103">
        <f t="shared" si="20"/>
        <v>486</v>
      </c>
      <c r="AB37" s="104">
        <f t="shared" si="1"/>
        <v>8.8693252742920961E-2</v>
      </c>
      <c r="AC37" s="107">
        <f>SUM(AC28:AC36)</f>
        <v>227</v>
      </c>
      <c r="AD37" s="107">
        <f>SUM(AD28:AD36)</f>
        <v>119</v>
      </c>
      <c r="AE37" s="114">
        <f>SUM(AE28:AE36)</f>
        <v>3778</v>
      </c>
      <c r="AF37" s="143"/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166</v>
      </c>
      <c r="C40" s="97">
        <v>117</v>
      </c>
      <c r="D40" s="97">
        <v>214</v>
      </c>
      <c r="E40" s="97">
        <v>186</v>
      </c>
      <c r="F40" s="97">
        <v>101</v>
      </c>
      <c r="G40" s="98">
        <f>SUM(B40:F40)</f>
        <v>784</v>
      </c>
      <c r="H40" s="97">
        <v>1</v>
      </c>
      <c r="I40" s="97">
        <v>0</v>
      </c>
      <c r="J40" s="97">
        <v>1</v>
      </c>
      <c r="K40" s="97">
        <v>0</v>
      </c>
      <c r="L40" s="120">
        <v>0</v>
      </c>
      <c r="M40" s="97">
        <f>SUM(H40:L40)</f>
        <v>2</v>
      </c>
      <c r="N40" s="99">
        <f t="shared" si="3"/>
        <v>0.25510204081632654</v>
      </c>
      <c r="O40" s="97">
        <v>3</v>
      </c>
      <c r="P40" s="97">
        <v>1</v>
      </c>
      <c r="Q40" s="97">
        <v>1</v>
      </c>
      <c r="R40" s="97">
        <v>2</v>
      </c>
      <c r="S40" s="97">
        <v>3</v>
      </c>
      <c r="T40" s="97">
        <f>SUM(O40:S40)</f>
        <v>10</v>
      </c>
      <c r="U40" s="99">
        <f t="shared" si="0"/>
        <v>1.2755102040816326</v>
      </c>
      <c r="V40" s="133">
        <v>0</v>
      </c>
      <c r="W40" s="133">
        <v>0</v>
      </c>
      <c r="X40" s="133">
        <v>0</v>
      </c>
      <c r="Y40" s="133">
        <f>Kölle14!E40</f>
        <v>0</v>
      </c>
      <c r="Z40" s="133">
        <v>1</v>
      </c>
      <c r="AA40" s="101">
        <f>SUM(V40:Z40)</f>
        <v>1</v>
      </c>
      <c r="AB40" s="99">
        <f t="shared" si="1"/>
        <v>0.12755102040816327</v>
      </c>
      <c r="AC40" s="101">
        <v>0</v>
      </c>
      <c r="AD40" s="101">
        <v>1</v>
      </c>
      <c r="AE40" s="101">
        <v>34</v>
      </c>
    </row>
    <row r="41" spans="1:32" ht="14.4" thickBot="1" x14ac:dyDescent="0.3">
      <c r="A41" s="89" t="s">
        <v>27</v>
      </c>
      <c r="B41" s="97">
        <v>58666</v>
      </c>
      <c r="C41" s="97">
        <v>49217</v>
      </c>
      <c r="D41" s="109">
        <v>33756</v>
      </c>
      <c r="E41" s="97">
        <v>72586</v>
      </c>
      <c r="F41" s="97">
        <v>68352</v>
      </c>
      <c r="G41" s="98">
        <f>SUM(B41:F41)</f>
        <v>282577</v>
      </c>
      <c r="H41" s="97">
        <v>19</v>
      </c>
      <c r="I41" s="97">
        <v>12</v>
      </c>
      <c r="J41" s="97">
        <v>38</v>
      </c>
      <c r="K41" s="97">
        <v>22</v>
      </c>
      <c r="L41" s="97">
        <v>13</v>
      </c>
      <c r="M41" s="97">
        <f>SUM(H41:L41)</f>
        <v>104</v>
      </c>
      <c r="N41" s="99">
        <f t="shared" si="3"/>
        <v>3.6804127724478636E-2</v>
      </c>
      <c r="O41" s="97">
        <v>13</v>
      </c>
      <c r="P41" s="97">
        <v>7</v>
      </c>
      <c r="Q41" s="97">
        <v>24</v>
      </c>
      <c r="R41" s="97">
        <v>10</v>
      </c>
      <c r="S41" s="97">
        <v>18</v>
      </c>
      <c r="T41" s="97">
        <f>SUM(O41:S41)</f>
        <v>72</v>
      </c>
      <c r="U41" s="99">
        <f t="shared" si="0"/>
        <v>2.5479780732331366E-2</v>
      </c>
      <c r="V41" s="109">
        <v>26</v>
      </c>
      <c r="W41" s="109">
        <v>1</v>
      </c>
      <c r="X41" s="133">
        <v>19</v>
      </c>
      <c r="Y41" s="133">
        <v>3</v>
      </c>
      <c r="Z41" s="133">
        <v>20</v>
      </c>
      <c r="AA41" s="97">
        <f>SUM(V41:Z41)</f>
        <v>69</v>
      </c>
      <c r="AB41" s="99">
        <f t="shared" si="1"/>
        <v>2.4418123201817559E-2</v>
      </c>
      <c r="AC41" s="101">
        <v>12</v>
      </c>
      <c r="AD41" s="101">
        <v>8</v>
      </c>
      <c r="AE41" s="101">
        <v>391</v>
      </c>
    </row>
    <row r="42" spans="1:32" s="132" customFormat="1" ht="14.4" thickBot="1" x14ac:dyDescent="0.3">
      <c r="A42" s="128" t="s">
        <v>21</v>
      </c>
      <c r="B42" s="111">
        <f>SUM(B40:B41)</f>
        <v>58832</v>
      </c>
      <c r="C42" s="111">
        <f>SUM(C40:C41)</f>
        <v>49334</v>
      </c>
      <c r="D42" s="111">
        <f>SUM(D40:D41)</f>
        <v>33970</v>
      </c>
      <c r="E42" s="111">
        <f>SUM(E40:E41)</f>
        <v>72772</v>
      </c>
      <c r="F42" s="111">
        <f>SUM(F40:F41)</f>
        <v>68453</v>
      </c>
      <c r="G42" s="102">
        <f t="shared" ref="G42:M42" si="21">SUM(G40:G41)</f>
        <v>283361</v>
      </c>
      <c r="H42" s="115">
        <f>SUM(H40:H41)</f>
        <v>20</v>
      </c>
      <c r="I42" s="115">
        <f>SUM(I40:I41)</f>
        <v>12</v>
      </c>
      <c r="J42" s="115">
        <f>SUM(J40:J41)</f>
        <v>39</v>
      </c>
      <c r="K42" s="115">
        <f>SUM(K40:K41)</f>
        <v>22</v>
      </c>
      <c r="L42" s="115">
        <f>SUM(L40:L41)</f>
        <v>13</v>
      </c>
      <c r="M42" s="103">
        <f t="shared" si="21"/>
        <v>106</v>
      </c>
      <c r="N42" s="104">
        <f t="shared" si="3"/>
        <v>3.7408111913777832E-2</v>
      </c>
      <c r="O42" s="111">
        <f t="shared" ref="O42:T42" si="22">SUM(O40:O41)</f>
        <v>16</v>
      </c>
      <c r="P42" s="111">
        <f t="shared" si="22"/>
        <v>8</v>
      </c>
      <c r="Q42" s="111">
        <f t="shared" si="22"/>
        <v>25</v>
      </c>
      <c r="R42" s="111">
        <f t="shared" si="22"/>
        <v>12</v>
      </c>
      <c r="S42" s="111">
        <f t="shared" si="22"/>
        <v>21</v>
      </c>
      <c r="T42" s="103">
        <f t="shared" si="22"/>
        <v>82</v>
      </c>
      <c r="U42" s="104">
        <f t="shared" si="0"/>
        <v>2.8938350725752661E-2</v>
      </c>
      <c r="V42" s="116">
        <f>SUM(V40:V41)</f>
        <v>26</v>
      </c>
      <c r="W42" s="116">
        <f t="shared" ref="W42:Z42" si="23">SUM(W40:W41)</f>
        <v>1</v>
      </c>
      <c r="X42" s="116">
        <f t="shared" si="23"/>
        <v>19</v>
      </c>
      <c r="Y42" s="116">
        <f>SUM(Y40:Y41)</f>
        <v>3</v>
      </c>
      <c r="Z42" s="116">
        <f t="shared" si="23"/>
        <v>21</v>
      </c>
      <c r="AA42" s="106">
        <f>SUM(AA40:AA41)</f>
        <v>70</v>
      </c>
      <c r="AB42" s="104">
        <f t="shared" si="1"/>
        <v>2.4703470131740079E-2</v>
      </c>
      <c r="AC42" s="107">
        <f>SUM(AC40:AC41)</f>
        <v>12</v>
      </c>
      <c r="AD42" s="107">
        <f>SUM(AD40:AD41)</f>
        <v>9</v>
      </c>
      <c r="AE42" s="107">
        <f>SUM(AE40:AE41)</f>
        <v>425</v>
      </c>
    </row>
    <row r="43" spans="1:32" s="132" customFormat="1" ht="16.2" thickBot="1" x14ac:dyDescent="0.3">
      <c r="A43" s="121" t="s">
        <v>48</v>
      </c>
      <c r="B43" s="138">
        <f>B11+B25+B37+B42</f>
        <v>170061</v>
      </c>
      <c r="C43" s="134">
        <f>C11+C25+C37+C42</f>
        <v>120223</v>
      </c>
      <c r="D43" s="138">
        <f>D11+D25+D37+D42</f>
        <v>187002</v>
      </c>
      <c r="E43" s="134">
        <f>SUM(B43:D43)</f>
        <v>477286</v>
      </c>
      <c r="F43" s="134">
        <f t="shared" ref="F43:M43" si="24">F11+F25+F37+F42</f>
        <v>162635</v>
      </c>
      <c r="G43" s="122">
        <f t="shared" si="24"/>
        <v>848501</v>
      </c>
      <c r="H43" s="122">
        <f t="shared" si="24"/>
        <v>198</v>
      </c>
      <c r="I43" s="122">
        <f t="shared" si="24"/>
        <v>92</v>
      </c>
      <c r="J43" s="122">
        <f t="shared" si="24"/>
        <v>335</v>
      </c>
      <c r="K43" s="122">
        <f>K11+K25+K37+K42</f>
        <v>156</v>
      </c>
      <c r="L43" s="122">
        <f t="shared" si="24"/>
        <v>115</v>
      </c>
      <c r="M43" s="122">
        <f t="shared" si="24"/>
        <v>896</v>
      </c>
      <c r="N43" s="123">
        <f t="shared" si="3"/>
        <v>0.10559798986683575</v>
      </c>
      <c r="O43" s="122">
        <f t="shared" ref="O43:T43" si="25">O11+O25+O37+O42</f>
        <v>269</v>
      </c>
      <c r="P43" s="122">
        <f t="shared" si="25"/>
        <v>148</v>
      </c>
      <c r="Q43" s="122">
        <f t="shared" si="25"/>
        <v>387</v>
      </c>
      <c r="R43" s="122">
        <f>R11+R25+R37+R42</f>
        <v>241</v>
      </c>
      <c r="S43" s="122">
        <f t="shared" si="25"/>
        <v>142</v>
      </c>
      <c r="T43" s="122">
        <f t="shared" si="25"/>
        <v>1187</v>
      </c>
      <c r="U43" s="123">
        <f t="shared" si="0"/>
        <v>0.13989376559367639</v>
      </c>
      <c r="V43" s="122">
        <f t="shared" ref="V43:AA43" si="26">V11+V25+V37+V42</f>
        <v>231</v>
      </c>
      <c r="W43" s="122">
        <f t="shared" si="26"/>
        <v>29</v>
      </c>
      <c r="X43" s="122">
        <f t="shared" si="26"/>
        <v>213</v>
      </c>
      <c r="Y43" s="122">
        <f t="shared" si="26"/>
        <v>44</v>
      </c>
      <c r="Z43" s="122">
        <f t="shared" si="26"/>
        <v>80</v>
      </c>
      <c r="AA43" s="122">
        <f t="shared" si="26"/>
        <v>597</v>
      </c>
      <c r="AB43" s="123">
        <f t="shared" si="1"/>
        <v>7.0359374944755512E-2</v>
      </c>
      <c r="AC43" s="122">
        <f>AC11+AC25+AC37+AC42</f>
        <v>254</v>
      </c>
      <c r="AD43" s="122">
        <f>AD11+AD25+AD37+AD42</f>
        <v>134</v>
      </c>
      <c r="AE43" s="122">
        <f>AE11+AE25+AE37+AE42</f>
        <v>4502</v>
      </c>
    </row>
    <row r="44" spans="1:32" ht="13.8" x14ac:dyDescent="0.25">
      <c r="A44" s="16"/>
      <c r="B44" s="163"/>
      <c r="C44" s="163"/>
      <c r="D44" s="163"/>
      <c r="E44" s="163"/>
      <c r="F44" s="163"/>
      <c r="G44" s="163"/>
      <c r="H44" s="16"/>
      <c r="I44" s="16"/>
      <c r="J44" s="16"/>
      <c r="K44" s="16"/>
      <c r="L44" s="2"/>
      <c r="M44" s="2"/>
      <c r="N44" s="2"/>
    </row>
    <row r="45" spans="1:32" ht="13.2" customHeight="1" x14ac:dyDescent="0.25">
      <c r="B45" s="164"/>
      <c r="C45" s="164"/>
      <c r="D45" s="164"/>
      <c r="E45" s="164"/>
      <c r="F45" s="164"/>
      <c r="G45" s="164"/>
    </row>
    <row r="46" spans="1:32" ht="13.2" customHeight="1" x14ac:dyDescent="0.25">
      <c r="B46" s="164"/>
      <c r="C46" s="164"/>
      <c r="D46" s="164"/>
      <c r="E46" s="164"/>
      <c r="F46" s="164"/>
      <c r="G46" s="164"/>
    </row>
    <row r="47" spans="1:32" ht="13.2" customHeight="1" x14ac:dyDescent="0.25">
      <c r="B47" s="164"/>
      <c r="C47" s="164"/>
      <c r="D47" s="164"/>
      <c r="E47" s="164"/>
      <c r="F47" s="164"/>
      <c r="G47" s="164"/>
    </row>
    <row r="48" spans="1:32" ht="13.2" customHeight="1" x14ac:dyDescent="0.25">
      <c r="B48" s="164"/>
      <c r="C48" s="164"/>
      <c r="D48" s="164"/>
      <c r="E48" s="164"/>
      <c r="F48" s="164"/>
      <c r="G48" s="164"/>
    </row>
    <row r="49" spans="2:7" ht="13.2" customHeight="1" x14ac:dyDescent="0.25">
      <c r="B49" s="164"/>
      <c r="C49" s="164"/>
      <c r="D49" s="164"/>
      <c r="E49" s="164"/>
      <c r="F49" s="164"/>
      <c r="G49" s="164"/>
    </row>
    <row r="50" spans="2:7" ht="13.2" customHeight="1" x14ac:dyDescent="0.25">
      <c r="B50" s="164"/>
      <c r="C50" s="164"/>
      <c r="D50" s="164"/>
      <c r="E50" s="164"/>
      <c r="F50" s="164"/>
      <c r="G50" s="164"/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>
    <pageSetUpPr fitToPage="1"/>
  </sheetPr>
  <dimension ref="A1:AJ52"/>
  <sheetViews>
    <sheetView zoomScaleNormal="10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H53" sqref="H53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6" s="82" customFormat="1" ht="24.6" x14ac:dyDescent="0.4">
      <c r="A1" s="479" t="s">
        <v>98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6" s="82" customFormat="1" ht="18" customHeight="1" thickBot="1" x14ac:dyDescent="0.35"/>
    <row r="3" spans="1:36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44</v>
      </c>
      <c r="W3" s="492"/>
      <c r="X3" s="492"/>
      <c r="Y3" s="492"/>
      <c r="Z3" s="492"/>
      <c r="AA3" s="493"/>
      <c r="AB3" s="488" t="s">
        <v>42</v>
      </c>
      <c r="AC3" s="95" t="s">
        <v>120</v>
      </c>
      <c r="AD3" s="96" t="s">
        <v>46</v>
      </c>
      <c r="AE3" s="96" t="s">
        <v>47</v>
      </c>
      <c r="AF3" s="18"/>
      <c r="AG3" s="19"/>
      <c r="AH3" s="19"/>
      <c r="AI3" s="19"/>
      <c r="AJ3" s="19"/>
    </row>
    <row r="4" spans="1:36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6" ht="14.4" thickBot="1" x14ac:dyDescent="0.3">
      <c r="A6" s="89" t="s">
        <v>1</v>
      </c>
      <c r="B6" s="97">
        <v>107</v>
      </c>
      <c r="C6" s="97">
        <v>35</v>
      </c>
      <c r="D6" s="97">
        <v>145</v>
      </c>
      <c r="E6" s="137">
        <v>86</v>
      </c>
      <c r="F6" s="97">
        <v>32</v>
      </c>
      <c r="G6" s="98">
        <f>SUM(B6:F6)</f>
        <v>405</v>
      </c>
      <c r="H6" s="97">
        <v>4</v>
      </c>
      <c r="I6" s="97">
        <v>1</v>
      </c>
      <c r="J6" s="97">
        <f>Düsseldorf14!C6</f>
        <v>0</v>
      </c>
      <c r="K6" s="97">
        <f>Kölle14!C6</f>
        <v>0</v>
      </c>
      <c r="L6" s="97">
        <v>1</v>
      </c>
      <c r="M6" s="101">
        <f>SUM(H6:L6)</f>
        <v>6</v>
      </c>
      <c r="N6" s="99">
        <f>M6*100/G6</f>
        <v>1.4814814814814814</v>
      </c>
      <c r="O6" s="97">
        <v>4</v>
      </c>
      <c r="P6" s="97">
        <v>1</v>
      </c>
      <c r="Q6" s="97">
        <v>2</v>
      </c>
      <c r="R6" s="97">
        <v>3</v>
      </c>
      <c r="S6" s="97">
        <v>0</v>
      </c>
      <c r="T6" s="101">
        <f>SUM(O6:S6)</f>
        <v>10</v>
      </c>
      <c r="U6" s="99">
        <f>T6*100/G6</f>
        <v>2.4691358024691357</v>
      </c>
      <c r="V6" s="97">
        <v>0</v>
      </c>
      <c r="W6" s="97">
        <f>Detmold14!E6</f>
        <v>0</v>
      </c>
      <c r="X6" s="97">
        <v>1</v>
      </c>
      <c r="Y6" s="97">
        <v>4</v>
      </c>
      <c r="Z6" s="97">
        <v>0</v>
      </c>
      <c r="AA6" s="97">
        <f>SUM(V6:Z6)</f>
        <v>5</v>
      </c>
      <c r="AB6" s="99">
        <f>AA6*100/G6</f>
        <v>1.2345679012345678</v>
      </c>
      <c r="AC6" s="101">
        <v>1</v>
      </c>
      <c r="AD6" s="101">
        <v>2</v>
      </c>
      <c r="AE6" s="101">
        <v>16</v>
      </c>
    </row>
    <row r="7" spans="1:36" ht="14.4" thickBot="1" x14ac:dyDescent="0.3">
      <c r="A7" s="90" t="s">
        <v>2</v>
      </c>
      <c r="B7" s="97">
        <v>603</v>
      </c>
      <c r="C7" s="97">
        <v>175</v>
      </c>
      <c r="D7" s="97">
        <v>840</v>
      </c>
      <c r="E7" s="137">
        <v>631</v>
      </c>
      <c r="F7" s="97">
        <v>299</v>
      </c>
      <c r="G7" s="98">
        <f>SUM(B7:F7)</f>
        <v>2548</v>
      </c>
      <c r="H7" s="97">
        <v>1</v>
      </c>
      <c r="I7" s="97">
        <v>0</v>
      </c>
      <c r="J7" s="97">
        <v>2</v>
      </c>
      <c r="K7" s="97">
        <v>4</v>
      </c>
      <c r="L7" s="97">
        <v>4</v>
      </c>
      <c r="M7" s="97">
        <f>SUM(H7:L7)</f>
        <v>11</v>
      </c>
      <c r="N7" s="99">
        <f>M7*100/G7</f>
        <v>0.43171114599686028</v>
      </c>
      <c r="O7" s="97">
        <v>0</v>
      </c>
      <c r="P7" s="97">
        <v>2</v>
      </c>
      <c r="Q7" s="97">
        <v>5</v>
      </c>
      <c r="R7" s="97">
        <v>12</v>
      </c>
      <c r="S7" s="97">
        <v>3</v>
      </c>
      <c r="T7" s="97">
        <f>SUM(O7:S7)</f>
        <v>22</v>
      </c>
      <c r="U7" s="99">
        <f>T7*100/G7</f>
        <v>0.86342229199372056</v>
      </c>
      <c r="V7" s="97">
        <v>1</v>
      </c>
      <c r="W7" s="97">
        <f>Detmold14!E7</f>
        <v>0</v>
      </c>
      <c r="X7" s="97">
        <v>8</v>
      </c>
      <c r="Y7" s="97">
        <v>8</v>
      </c>
      <c r="Z7" s="97">
        <v>1</v>
      </c>
      <c r="AA7" s="97">
        <f>SUM(V7:Z7)</f>
        <v>18</v>
      </c>
      <c r="AB7" s="99">
        <f>AA7*100/G7</f>
        <v>0.70643642072213497</v>
      </c>
      <c r="AC7" s="101">
        <v>2</v>
      </c>
      <c r="AD7" s="101">
        <v>4</v>
      </c>
      <c r="AE7" s="101">
        <v>74</v>
      </c>
    </row>
    <row r="8" spans="1:36" ht="14.4" thickBot="1" x14ac:dyDescent="0.3">
      <c r="A8" s="90" t="s">
        <v>14</v>
      </c>
      <c r="B8" s="97">
        <v>54</v>
      </c>
      <c r="C8" s="97">
        <v>31</v>
      </c>
      <c r="D8" s="97">
        <v>108</v>
      </c>
      <c r="E8" s="137">
        <v>95</v>
      </c>
      <c r="F8" s="97">
        <v>34</v>
      </c>
      <c r="G8" s="98">
        <f>SUM(B8:F8)</f>
        <v>322</v>
      </c>
      <c r="H8" s="97">
        <v>0</v>
      </c>
      <c r="I8" s="97">
        <v>0</v>
      </c>
      <c r="J8" s="97">
        <v>0</v>
      </c>
      <c r="K8" s="97">
        <v>2</v>
      </c>
      <c r="L8" s="97">
        <f>Münster14!C8</f>
        <v>0</v>
      </c>
      <c r="M8" s="101">
        <f>SUM(H8:L8)</f>
        <v>2</v>
      </c>
      <c r="N8" s="99">
        <f>M8*100/G8</f>
        <v>0.6211180124223602</v>
      </c>
      <c r="O8" s="97">
        <v>1</v>
      </c>
      <c r="P8" s="97">
        <v>0</v>
      </c>
      <c r="Q8" s="97">
        <v>0</v>
      </c>
      <c r="R8" s="97">
        <v>2</v>
      </c>
      <c r="S8" s="97">
        <v>0</v>
      </c>
      <c r="T8" s="101">
        <f>SUM(O8:S8)</f>
        <v>3</v>
      </c>
      <c r="U8" s="99">
        <f t="shared" ref="U8:U43" si="0">T8*100/G8</f>
        <v>0.93167701863354035</v>
      </c>
      <c r="V8" s="97">
        <v>0</v>
      </c>
      <c r="W8" s="97">
        <f>Detmold14!E8</f>
        <v>0</v>
      </c>
      <c r="X8" s="97">
        <v>0</v>
      </c>
      <c r="Y8" s="97">
        <v>0</v>
      </c>
      <c r="Z8" s="97">
        <v>0</v>
      </c>
      <c r="AA8" s="97">
        <f>SUM(V8:Z8)</f>
        <v>0</v>
      </c>
      <c r="AB8" s="99">
        <f t="shared" ref="AB8:AB43" si="1">AA8*100/G8</f>
        <v>0</v>
      </c>
      <c r="AC8" s="101">
        <v>3</v>
      </c>
      <c r="AD8" s="101">
        <v>0</v>
      </c>
      <c r="AE8" s="101">
        <v>16</v>
      </c>
    </row>
    <row r="9" spans="1:36" ht="14.4" thickBot="1" x14ac:dyDescent="0.3">
      <c r="A9" s="90" t="s">
        <v>3</v>
      </c>
      <c r="B9" s="97">
        <v>103</v>
      </c>
      <c r="C9" s="97">
        <v>74</v>
      </c>
      <c r="D9" s="97">
        <v>164</v>
      </c>
      <c r="E9" s="137">
        <v>126</v>
      </c>
      <c r="F9" s="97">
        <v>40</v>
      </c>
      <c r="G9" s="98">
        <f>SUM(B9:F9)</f>
        <v>507</v>
      </c>
      <c r="H9" s="97">
        <v>0</v>
      </c>
      <c r="I9" s="97">
        <v>0</v>
      </c>
      <c r="J9" s="97">
        <v>0</v>
      </c>
      <c r="K9" s="97">
        <v>4</v>
      </c>
      <c r="L9" s="97">
        <f>Münster14!C9</f>
        <v>0</v>
      </c>
      <c r="M9" s="97">
        <f>SUM(H9:L9)</f>
        <v>4</v>
      </c>
      <c r="N9" s="99">
        <f>M9*100/G9</f>
        <v>0.78895463510848129</v>
      </c>
      <c r="O9" s="97">
        <v>0</v>
      </c>
      <c r="P9" s="97">
        <v>0</v>
      </c>
      <c r="Q9" s="97">
        <v>0</v>
      </c>
      <c r="R9" s="97">
        <v>3</v>
      </c>
      <c r="S9" s="97">
        <v>0</v>
      </c>
      <c r="T9" s="97">
        <f>SUM(O9:S9)</f>
        <v>3</v>
      </c>
      <c r="U9" s="99">
        <f t="shared" si="0"/>
        <v>0.59171597633136097</v>
      </c>
      <c r="V9" s="97">
        <v>0</v>
      </c>
      <c r="W9" s="97">
        <f>Detmold14!E9</f>
        <v>0</v>
      </c>
      <c r="X9" s="97">
        <v>3</v>
      </c>
      <c r="Y9" s="97">
        <v>0</v>
      </c>
      <c r="Z9" s="97">
        <v>0</v>
      </c>
      <c r="AA9" s="97">
        <f>SUM(V9:Z9)</f>
        <v>3</v>
      </c>
      <c r="AB9" s="99">
        <f t="shared" si="1"/>
        <v>0.59171597633136097</v>
      </c>
      <c r="AC9" s="101">
        <f>Arnsberg14!F9+Detmold14!F9+Düsseldorf14!F9+Kölle14!F9+Münster14!F9</f>
        <v>0</v>
      </c>
      <c r="AD9" s="101">
        <v>1</v>
      </c>
      <c r="AE9" s="101">
        <v>13</v>
      </c>
    </row>
    <row r="10" spans="1:36" ht="23.4" thickBot="1" x14ac:dyDescent="0.3">
      <c r="A10" s="139" t="s">
        <v>23</v>
      </c>
      <c r="B10" s="97">
        <v>622</v>
      </c>
      <c r="C10" s="97">
        <v>202</v>
      </c>
      <c r="D10" s="97">
        <v>902</v>
      </c>
      <c r="E10" s="137">
        <v>785</v>
      </c>
      <c r="F10" s="97">
        <v>324</v>
      </c>
      <c r="G10" s="98">
        <f>SUM(B10:F10)</f>
        <v>2835</v>
      </c>
      <c r="H10" s="97">
        <v>4</v>
      </c>
      <c r="I10" s="97">
        <v>0</v>
      </c>
      <c r="J10" s="97">
        <v>0</v>
      </c>
      <c r="K10" s="97">
        <v>5</v>
      </c>
      <c r="L10" s="97">
        <v>1</v>
      </c>
      <c r="M10" s="97">
        <f>SUM(H10:L10)</f>
        <v>10</v>
      </c>
      <c r="N10" s="99">
        <f>M10*100/G10</f>
        <v>0.35273368606701938</v>
      </c>
      <c r="O10" s="97">
        <v>4</v>
      </c>
      <c r="P10" s="97">
        <v>3</v>
      </c>
      <c r="Q10" s="97">
        <v>3</v>
      </c>
      <c r="R10" s="97">
        <v>2</v>
      </c>
      <c r="S10" s="97">
        <v>3</v>
      </c>
      <c r="T10" s="100">
        <f>SUM(O10:S10)</f>
        <v>15</v>
      </c>
      <c r="U10" s="99">
        <f t="shared" si="0"/>
        <v>0.52910052910052907</v>
      </c>
      <c r="V10" s="97">
        <v>0</v>
      </c>
      <c r="W10" s="97">
        <f>Detmold14!E10</f>
        <v>0</v>
      </c>
      <c r="X10" s="97">
        <v>4</v>
      </c>
      <c r="Y10" s="97">
        <v>2</v>
      </c>
      <c r="Z10" s="97">
        <v>1</v>
      </c>
      <c r="AA10" s="97">
        <f>SUM(V10:Z10)</f>
        <v>7</v>
      </c>
      <c r="AB10" s="99">
        <f t="shared" si="1"/>
        <v>0.24691358024691357</v>
      </c>
      <c r="AC10" s="101">
        <v>1</v>
      </c>
      <c r="AD10" s="101">
        <v>4</v>
      </c>
      <c r="AE10" s="101">
        <v>66</v>
      </c>
    </row>
    <row r="11" spans="1:36" s="132" customFormat="1" ht="14.4" thickBot="1" x14ac:dyDescent="0.3">
      <c r="A11" s="124" t="s">
        <v>21</v>
      </c>
      <c r="B11" s="105">
        <f>SUM(B6:B10)</f>
        <v>1489</v>
      </c>
      <c r="C11" s="105">
        <f>SUM(C6:C10)</f>
        <v>517</v>
      </c>
      <c r="D11" s="105">
        <f>SUM(D6:D10)</f>
        <v>2159</v>
      </c>
      <c r="E11" s="105">
        <f>SUM(E6:E10)</f>
        <v>1723</v>
      </c>
      <c r="F11" s="105">
        <f>SUM(F6:F10)</f>
        <v>729</v>
      </c>
      <c r="G11" s="102">
        <f t="shared" ref="G11:M11" si="2">SUM(G6:G10)</f>
        <v>6617</v>
      </c>
      <c r="H11" s="111">
        <f>SUM(H6:H10)</f>
        <v>9</v>
      </c>
      <c r="I11" s="111">
        <f>SUM(I6:I10)</f>
        <v>1</v>
      </c>
      <c r="J11" s="111">
        <f t="shared" si="2"/>
        <v>2</v>
      </c>
      <c r="K11" s="111">
        <f t="shared" si="2"/>
        <v>15</v>
      </c>
      <c r="L11" s="111">
        <f t="shared" si="2"/>
        <v>6</v>
      </c>
      <c r="M11" s="103">
        <f t="shared" si="2"/>
        <v>33</v>
      </c>
      <c r="N11" s="104">
        <f t="shared" ref="N11:N43" si="3">M11*100/G11</f>
        <v>0.49871542995315099</v>
      </c>
      <c r="O11" s="105">
        <f t="shared" ref="O11:T11" si="4">SUM(O6:O10)</f>
        <v>9</v>
      </c>
      <c r="P11" s="105">
        <f t="shared" si="4"/>
        <v>6</v>
      </c>
      <c r="Q11" s="105">
        <f t="shared" si="4"/>
        <v>10</v>
      </c>
      <c r="R11" s="105">
        <f>SUM(R6:R10)</f>
        <v>22</v>
      </c>
      <c r="S11" s="105">
        <f t="shared" si="4"/>
        <v>6</v>
      </c>
      <c r="T11" s="103">
        <f t="shared" si="4"/>
        <v>53</v>
      </c>
      <c r="U11" s="104">
        <f t="shared" si="0"/>
        <v>0.80096720568233337</v>
      </c>
      <c r="V11" s="105">
        <f t="shared" ref="V11:AA11" si="5">SUM(V6:V10)</f>
        <v>1</v>
      </c>
      <c r="W11" s="105">
        <f t="shared" si="5"/>
        <v>0</v>
      </c>
      <c r="X11" s="105">
        <f t="shared" si="5"/>
        <v>16</v>
      </c>
      <c r="Y11" s="105">
        <f>SUM(Y6:Y10)</f>
        <v>14</v>
      </c>
      <c r="Z11" s="105">
        <f t="shared" si="5"/>
        <v>2</v>
      </c>
      <c r="AA11" s="106">
        <f t="shared" si="5"/>
        <v>33</v>
      </c>
      <c r="AB11" s="104">
        <f t="shared" si="1"/>
        <v>0.49871542995315099</v>
      </c>
      <c r="AC11" s="107">
        <f>SUM(AC6:AC10)</f>
        <v>7</v>
      </c>
      <c r="AD11" s="107">
        <f>SUM(AD6:AD10)</f>
        <v>11</v>
      </c>
      <c r="AE11" s="107">
        <f>SUM(AE6:AE10)</f>
        <v>185</v>
      </c>
    </row>
    <row r="12" spans="1:3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6" ht="14.4" thickBot="1" x14ac:dyDescent="0.3">
      <c r="A14" s="89" t="s">
        <v>4</v>
      </c>
      <c r="B14" s="97">
        <v>15</v>
      </c>
      <c r="C14" s="97">
        <v>3</v>
      </c>
      <c r="D14" s="97">
        <v>33</v>
      </c>
      <c r="E14" s="97">
        <v>42</v>
      </c>
      <c r="F14" s="97">
        <v>8</v>
      </c>
      <c r="G14" s="98">
        <f>SUM(B14:F14)</f>
        <v>101</v>
      </c>
      <c r="H14" s="97">
        <v>0</v>
      </c>
      <c r="I14" s="97">
        <f>Detmold14!C14</f>
        <v>0</v>
      </c>
      <c r="J14" s="97">
        <f>Düsseldorf14!C14</f>
        <v>0</v>
      </c>
      <c r="K14" s="97">
        <f>Kölle14!C14</f>
        <v>0</v>
      </c>
      <c r="L14" s="97">
        <f>Münster14!C14</f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f>Detmold14!D14</f>
        <v>0</v>
      </c>
      <c r="Q14" s="97">
        <v>0</v>
      </c>
      <c r="R14" s="97">
        <v>0</v>
      </c>
      <c r="S14" s="97">
        <v>0</v>
      </c>
      <c r="T14" s="97">
        <f>SUM(O14:S14)</f>
        <v>0</v>
      </c>
      <c r="U14" s="99">
        <f t="shared" si="0"/>
        <v>0</v>
      </c>
      <c r="V14" s="97">
        <f>Arnsberg14!E14</f>
        <v>0</v>
      </c>
      <c r="W14" s="97">
        <f>Detmold14!E14</f>
        <v>0</v>
      </c>
      <c r="X14" s="97">
        <f>Düsseldorf14!E14</f>
        <v>0</v>
      </c>
      <c r="Y14" s="97">
        <f>Kölle14!E14</f>
        <v>0</v>
      </c>
      <c r="Z14" s="97">
        <v>0</v>
      </c>
      <c r="AA14" s="101">
        <f>SUM(V14:Z14)</f>
        <v>0</v>
      </c>
      <c r="AB14" s="99">
        <f t="shared" si="1"/>
        <v>0</v>
      </c>
      <c r="AC14" s="101">
        <f>Arnsberg14!F14+Detmold14!F14+Düsseldorf14!F14+Kölle14!F14+Münster14!F14</f>
        <v>0</v>
      </c>
      <c r="AD14" s="101">
        <f>Arnsberg14!G14+Detmold14!G14+Düsseldorf14!G14+Kölle14!G14+Münster14!G14</f>
        <v>0</v>
      </c>
      <c r="AE14" s="101">
        <v>5</v>
      </c>
    </row>
    <row r="15" spans="1:36" ht="14.4" thickBot="1" x14ac:dyDescent="0.3">
      <c r="A15" s="89" t="s">
        <v>5</v>
      </c>
      <c r="B15" s="97">
        <v>210</v>
      </c>
      <c r="C15" s="97">
        <v>58</v>
      </c>
      <c r="D15" s="97">
        <v>306</v>
      </c>
      <c r="E15" s="97">
        <v>325</v>
      </c>
      <c r="F15" s="97">
        <v>107</v>
      </c>
      <c r="G15" s="98">
        <f t="shared" ref="G15:G24" si="6">SUM(B15:F15)</f>
        <v>1006</v>
      </c>
      <c r="H15" s="97">
        <v>0</v>
      </c>
      <c r="I15" s="97">
        <f>Detmold14!C15</f>
        <v>0</v>
      </c>
      <c r="J15" s="97">
        <v>1</v>
      </c>
      <c r="K15" s="97">
        <v>4</v>
      </c>
      <c r="L15" s="97">
        <v>0</v>
      </c>
      <c r="M15" s="97">
        <f>SUM(H15:L15)</f>
        <v>5</v>
      </c>
      <c r="N15" s="99">
        <f t="shared" si="3"/>
        <v>0.49701789264413521</v>
      </c>
      <c r="O15" s="97">
        <v>0</v>
      </c>
      <c r="P15" s="97">
        <v>0</v>
      </c>
      <c r="Q15" s="97">
        <v>4</v>
      </c>
      <c r="R15" s="97">
        <v>4</v>
      </c>
      <c r="S15" s="97">
        <v>0</v>
      </c>
      <c r="T15" s="97">
        <f>SUM(O15:S15)</f>
        <v>8</v>
      </c>
      <c r="U15" s="99">
        <f t="shared" si="0"/>
        <v>0.79522862823061635</v>
      </c>
      <c r="V15" s="97">
        <v>5</v>
      </c>
      <c r="W15" s="97">
        <v>1</v>
      </c>
      <c r="X15" s="97">
        <v>0</v>
      </c>
      <c r="Y15" s="97">
        <v>0</v>
      </c>
      <c r="Z15" s="97">
        <v>1</v>
      </c>
      <c r="AA15" s="97">
        <f>SUM(V15:Z15)</f>
        <v>7</v>
      </c>
      <c r="AB15" s="99">
        <f t="shared" si="1"/>
        <v>0.69582504970178927</v>
      </c>
      <c r="AC15" s="101">
        <v>0</v>
      </c>
      <c r="AD15" s="101">
        <v>0</v>
      </c>
      <c r="AE15" s="101">
        <v>40</v>
      </c>
    </row>
    <row r="16" spans="1:36" ht="14.4" thickBot="1" x14ac:dyDescent="0.3">
      <c r="A16" s="89" t="s">
        <v>6</v>
      </c>
      <c r="B16" s="109">
        <v>52</v>
      </c>
      <c r="C16" s="97">
        <v>23</v>
      </c>
      <c r="D16" s="97">
        <v>74</v>
      </c>
      <c r="E16" s="97">
        <v>49</v>
      </c>
      <c r="F16" s="97">
        <v>31</v>
      </c>
      <c r="G16" s="98">
        <f t="shared" si="6"/>
        <v>229</v>
      </c>
      <c r="H16" s="97">
        <v>0</v>
      </c>
      <c r="I16" s="97">
        <f>Detmold14!C16</f>
        <v>0</v>
      </c>
      <c r="J16" s="97">
        <f>Düsseldorf14!C16</f>
        <v>0</v>
      </c>
      <c r="K16" s="97">
        <f>Kölle14!C16</f>
        <v>0</v>
      </c>
      <c r="L16" s="97">
        <f>Münster14!C16</f>
        <v>0</v>
      </c>
      <c r="M16" s="101">
        <f t="shared" ref="M16:M20" si="7">SUM(H16:L16)</f>
        <v>0</v>
      </c>
      <c r="N16" s="99">
        <f t="shared" si="3"/>
        <v>0</v>
      </c>
      <c r="O16" s="97">
        <v>0</v>
      </c>
      <c r="P16" s="97">
        <f>Detmold14!D16</f>
        <v>0</v>
      </c>
      <c r="Q16" s="97">
        <v>0</v>
      </c>
      <c r="R16" s="97">
        <v>0</v>
      </c>
      <c r="S16" s="97">
        <f>Münster14!D16</f>
        <v>0</v>
      </c>
      <c r="T16" s="97">
        <f>SUM(O16:S16)</f>
        <v>0</v>
      </c>
      <c r="U16" s="99">
        <f t="shared" si="0"/>
        <v>0</v>
      </c>
      <c r="V16" s="97">
        <f>Arnsberg14!E16</f>
        <v>0</v>
      </c>
      <c r="W16" s="97">
        <v>1</v>
      </c>
      <c r="X16" s="97">
        <v>0</v>
      </c>
      <c r="Y16" s="97">
        <v>2</v>
      </c>
      <c r="Z16" s="97">
        <f>Münster14!E16</f>
        <v>0</v>
      </c>
      <c r="AA16" s="97">
        <f>SUM(V16:Z16)</f>
        <v>3</v>
      </c>
      <c r="AB16" s="99">
        <f t="shared" si="1"/>
        <v>1.3100436681222707</v>
      </c>
      <c r="AC16" s="101">
        <f>Arnsberg14!F16+Detmold14!F16+Düsseldorf14!F16+Kölle14!F16+Münster14!F16</f>
        <v>0</v>
      </c>
      <c r="AD16" s="101">
        <v>1</v>
      </c>
      <c r="AE16" s="101">
        <v>3</v>
      </c>
    </row>
    <row r="17" spans="1:34" ht="14.4" thickBot="1" x14ac:dyDescent="0.3">
      <c r="A17" s="89" t="s">
        <v>7</v>
      </c>
      <c r="B17" s="97">
        <v>29</v>
      </c>
      <c r="C17" s="97">
        <v>6</v>
      </c>
      <c r="D17" s="97">
        <v>56</v>
      </c>
      <c r="E17" s="97">
        <v>17</v>
      </c>
      <c r="F17" s="97">
        <v>28</v>
      </c>
      <c r="G17" s="98">
        <f t="shared" si="6"/>
        <v>136</v>
      </c>
      <c r="H17" s="97">
        <v>0</v>
      </c>
      <c r="I17" s="97">
        <f>Detmold14!C17</f>
        <v>0</v>
      </c>
      <c r="J17" s="97">
        <v>0</v>
      </c>
      <c r="K17" s="97">
        <v>0</v>
      </c>
      <c r="L17" s="97">
        <f>Münster14!C17</f>
        <v>0</v>
      </c>
      <c r="M17" s="97">
        <f>SUM(H17:L17)</f>
        <v>0</v>
      </c>
      <c r="N17" s="99">
        <f t="shared" si="3"/>
        <v>0</v>
      </c>
      <c r="O17" s="97">
        <v>0</v>
      </c>
      <c r="P17" s="97">
        <f>Detmold14!D17</f>
        <v>0</v>
      </c>
      <c r="Q17" s="97">
        <v>0</v>
      </c>
      <c r="R17" s="97">
        <v>0</v>
      </c>
      <c r="S17" s="97">
        <f>Münster14!D17</f>
        <v>0</v>
      </c>
      <c r="T17" s="97">
        <f>SUM(O17:S17)</f>
        <v>0</v>
      </c>
      <c r="U17" s="99">
        <f t="shared" si="0"/>
        <v>0</v>
      </c>
      <c r="V17" s="97">
        <f>Arnsberg14!E17</f>
        <v>0</v>
      </c>
      <c r="W17" s="97">
        <f>Detmold14!E17</f>
        <v>0</v>
      </c>
      <c r="X17" s="97">
        <f>Düsseldorf14!E17</f>
        <v>0</v>
      </c>
      <c r="Y17" s="97">
        <f>Kölle14!E17</f>
        <v>0</v>
      </c>
      <c r="Z17" s="97">
        <f>Münster14!E17</f>
        <v>0</v>
      </c>
      <c r="AA17" s="101">
        <f t="shared" ref="AA17:AA20" si="8">SUM(V17:Z17)</f>
        <v>0</v>
      </c>
      <c r="AB17" s="99">
        <f t="shared" si="1"/>
        <v>0</v>
      </c>
      <c r="AC17" s="101">
        <f>Arnsberg14!F17+Detmold14!F17+Düsseldorf14!F17+Kölle14!F17+Münster14!F17</f>
        <v>0</v>
      </c>
      <c r="AD17" s="101">
        <f>Arnsberg14!G17+Detmold14!G17+Düsseldorf14!G17+Kölle14!G17+Münster14!G17</f>
        <v>0</v>
      </c>
      <c r="AE17" s="101">
        <v>0</v>
      </c>
    </row>
    <row r="18" spans="1:34" ht="14.4" thickBot="1" x14ac:dyDescent="0.3">
      <c r="A18" s="89" t="s">
        <v>8</v>
      </c>
      <c r="B18" s="97">
        <v>7</v>
      </c>
      <c r="C18" s="97">
        <v>2</v>
      </c>
      <c r="D18" s="97">
        <v>7</v>
      </c>
      <c r="E18" s="97">
        <v>7</v>
      </c>
      <c r="F18" s="97">
        <v>3</v>
      </c>
      <c r="G18" s="98">
        <f t="shared" si="6"/>
        <v>26</v>
      </c>
      <c r="H18" s="97">
        <v>0</v>
      </c>
      <c r="I18" s="97">
        <f>Detmold14!C18</f>
        <v>0</v>
      </c>
      <c r="J18" s="97">
        <f>Düsseldorf14!C18</f>
        <v>0</v>
      </c>
      <c r="K18" s="97">
        <f>Kölle14!C18</f>
        <v>0</v>
      </c>
      <c r="L18" s="97">
        <f>Münster14!C18</f>
        <v>0</v>
      </c>
      <c r="M18" s="97">
        <f>SUM(H18:L18)</f>
        <v>0</v>
      </c>
      <c r="N18" s="99">
        <f t="shared" si="3"/>
        <v>0</v>
      </c>
      <c r="O18" s="97">
        <v>0</v>
      </c>
      <c r="P18" s="97">
        <f>Detmold14!D18</f>
        <v>0</v>
      </c>
      <c r="Q18" s="97">
        <v>0</v>
      </c>
      <c r="R18" s="97">
        <v>0</v>
      </c>
      <c r="S18" s="97">
        <f>Münster14!D18</f>
        <v>0</v>
      </c>
      <c r="T18" s="101">
        <f t="shared" ref="T18:T20" si="9">SUM(O18:S18)</f>
        <v>0</v>
      </c>
      <c r="U18" s="99">
        <f t="shared" si="0"/>
        <v>0</v>
      </c>
      <c r="V18" s="97">
        <v>0</v>
      </c>
      <c r="W18" s="97">
        <f>Detmold14!E18</f>
        <v>0</v>
      </c>
      <c r="X18" s="97">
        <f>Düsseldorf14!E18</f>
        <v>0</v>
      </c>
      <c r="Y18" s="97">
        <f>Kölle14!E18</f>
        <v>0</v>
      </c>
      <c r="Z18" s="97">
        <f>Münster14!E18</f>
        <v>0</v>
      </c>
      <c r="AA18" s="97">
        <f>SUM(V18:Z18)</f>
        <v>0</v>
      </c>
      <c r="AB18" s="99">
        <f t="shared" si="1"/>
        <v>0</v>
      </c>
      <c r="AC18" s="101">
        <f>Arnsberg14!F18+Detmold14!F18+Düsseldorf14!F18+Kölle14!F18+Münster14!F18</f>
        <v>0</v>
      </c>
      <c r="AD18" s="101">
        <f>Arnsberg14!G18+Detmold14!G18+Düsseldorf14!G18+Kölle14!G18+Münster14!G18</f>
        <v>0</v>
      </c>
      <c r="AE18" s="101">
        <v>1</v>
      </c>
    </row>
    <row r="19" spans="1:34" ht="14.4" thickBot="1" x14ac:dyDescent="0.3">
      <c r="A19" s="89" t="s">
        <v>9</v>
      </c>
      <c r="B19" s="97">
        <v>13</v>
      </c>
      <c r="C19" s="97">
        <v>4</v>
      </c>
      <c r="D19" s="97">
        <v>27</v>
      </c>
      <c r="E19" s="97">
        <v>19</v>
      </c>
      <c r="F19" s="97">
        <v>7</v>
      </c>
      <c r="G19" s="98">
        <f t="shared" si="6"/>
        <v>70</v>
      </c>
      <c r="H19" s="97">
        <v>0</v>
      </c>
      <c r="I19" s="97">
        <f>Detmold14!C19</f>
        <v>0</v>
      </c>
      <c r="J19" s="97">
        <v>0</v>
      </c>
      <c r="K19" s="97">
        <v>0</v>
      </c>
      <c r="L19" s="97">
        <f>Münster14!C19</f>
        <v>0</v>
      </c>
      <c r="M19" s="101">
        <f t="shared" si="7"/>
        <v>0</v>
      </c>
      <c r="N19" s="99">
        <f t="shared" si="3"/>
        <v>0</v>
      </c>
      <c r="O19" s="97">
        <v>0</v>
      </c>
      <c r="P19" s="97">
        <f>Detmold14!D19</f>
        <v>0</v>
      </c>
      <c r="Q19" s="97">
        <v>0</v>
      </c>
      <c r="R19" s="97">
        <v>0</v>
      </c>
      <c r="S19" s="97">
        <f>Münster14!D19</f>
        <v>0</v>
      </c>
      <c r="T19" s="101">
        <f t="shared" si="9"/>
        <v>0</v>
      </c>
      <c r="U19" s="99">
        <f t="shared" si="0"/>
        <v>0</v>
      </c>
      <c r="V19" s="97">
        <f>Arnsberg14!E19</f>
        <v>0</v>
      </c>
      <c r="W19" s="97">
        <f>Detmold14!E19</f>
        <v>0</v>
      </c>
      <c r="X19" s="97">
        <f>Düsseldorf14!E19</f>
        <v>0</v>
      </c>
      <c r="Y19" s="97">
        <f>Kölle14!E19</f>
        <v>0</v>
      </c>
      <c r="Z19" s="97">
        <f>Münster14!E19</f>
        <v>0</v>
      </c>
      <c r="AA19" s="101">
        <f t="shared" si="8"/>
        <v>0</v>
      </c>
      <c r="AB19" s="99">
        <f t="shared" si="1"/>
        <v>0</v>
      </c>
      <c r="AC19" s="101">
        <f>Arnsberg14!F19+Detmold14!F19+Düsseldorf14!F19+Kölle14!F19+Münster14!F19</f>
        <v>0</v>
      </c>
      <c r="AD19" s="101">
        <f>Arnsberg14!G19+Detmold14!G19+Düsseldorf14!G19+Kölle14!G19+Münster14!G19</f>
        <v>0</v>
      </c>
      <c r="AE19" s="101">
        <v>1</v>
      </c>
    </row>
    <row r="20" spans="1:34" ht="14.4" thickBot="1" x14ac:dyDescent="0.3">
      <c r="A20" s="89" t="s">
        <v>10</v>
      </c>
      <c r="B20" s="97">
        <v>7</v>
      </c>
      <c r="C20" s="97">
        <v>3</v>
      </c>
      <c r="D20" s="97">
        <v>11</v>
      </c>
      <c r="E20" s="97">
        <v>19</v>
      </c>
      <c r="F20" s="97">
        <v>6</v>
      </c>
      <c r="G20" s="98">
        <f t="shared" si="6"/>
        <v>46</v>
      </c>
      <c r="H20" s="97">
        <v>0</v>
      </c>
      <c r="I20" s="97">
        <f>Detmold14!C20</f>
        <v>0</v>
      </c>
      <c r="J20" s="97">
        <f>Düsseldorf14!C20</f>
        <v>0</v>
      </c>
      <c r="K20" s="97">
        <v>0</v>
      </c>
      <c r="L20" s="97">
        <f>Münster14!C20</f>
        <v>0</v>
      </c>
      <c r="M20" s="101">
        <f t="shared" si="7"/>
        <v>0</v>
      </c>
      <c r="N20" s="99">
        <f t="shared" si="3"/>
        <v>0</v>
      </c>
      <c r="O20" s="97">
        <v>0</v>
      </c>
      <c r="P20" s="97">
        <f>Detmold14!D20</f>
        <v>0</v>
      </c>
      <c r="Q20" s="97">
        <v>0</v>
      </c>
      <c r="R20" s="97">
        <v>0</v>
      </c>
      <c r="S20" s="97">
        <v>1</v>
      </c>
      <c r="T20" s="101">
        <f t="shared" si="9"/>
        <v>1</v>
      </c>
      <c r="U20" s="99">
        <f t="shared" si="0"/>
        <v>2.1739130434782608</v>
      </c>
      <c r="V20" s="97">
        <f>Arnsberg14!E20</f>
        <v>0</v>
      </c>
      <c r="W20" s="97">
        <f>Detmold14!E20</f>
        <v>0</v>
      </c>
      <c r="X20" s="97">
        <f>Düsseldorf14!E20</f>
        <v>0</v>
      </c>
      <c r="Y20" s="97">
        <f>Kölle14!E20</f>
        <v>0</v>
      </c>
      <c r="Z20" s="97">
        <f>Münster14!E20</f>
        <v>0</v>
      </c>
      <c r="AA20" s="101">
        <f t="shared" si="8"/>
        <v>0</v>
      </c>
      <c r="AB20" s="99">
        <f t="shared" si="1"/>
        <v>0</v>
      </c>
      <c r="AC20" s="101">
        <f>Arnsberg14!F20+Detmold14!F20+Düsseldorf14!F20+Kölle14!F20+Münster14!F20</f>
        <v>0</v>
      </c>
      <c r="AD20" s="101">
        <f>Arnsberg14!G20+Detmold14!G20+Düsseldorf14!G20+Kölle14!G20+Münster14!G20</f>
        <v>0</v>
      </c>
      <c r="AE20" s="101">
        <v>2</v>
      </c>
    </row>
    <row r="21" spans="1:34" ht="14.4" thickBot="1" x14ac:dyDescent="0.3">
      <c r="A21" s="89" t="s">
        <v>11</v>
      </c>
      <c r="B21" s="97">
        <v>107</v>
      </c>
      <c r="C21" s="97">
        <v>22</v>
      </c>
      <c r="D21" s="97">
        <v>125</v>
      </c>
      <c r="E21" s="97">
        <v>127</v>
      </c>
      <c r="F21" s="97">
        <v>39</v>
      </c>
      <c r="G21" s="98">
        <f t="shared" si="6"/>
        <v>420</v>
      </c>
      <c r="H21" s="97">
        <v>2</v>
      </c>
      <c r="I21" s="97">
        <f>Detmold14!C21</f>
        <v>0</v>
      </c>
      <c r="J21" s="97">
        <v>0</v>
      </c>
      <c r="K21" s="97">
        <v>2</v>
      </c>
      <c r="L21" s="97"/>
      <c r="M21" s="97">
        <f>SUM(H21:L21)</f>
        <v>4</v>
      </c>
      <c r="N21" s="99">
        <f t="shared" si="3"/>
        <v>0.95238095238095233</v>
      </c>
      <c r="O21" s="97">
        <v>0</v>
      </c>
      <c r="P21" s="97">
        <v>0</v>
      </c>
      <c r="Q21" s="97">
        <v>0</v>
      </c>
      <c r="R21" s="97">
        <v>3</v>
      </c>
      <c r="S21" s="97">
        <f>Münster14!D21</f>
        <v>0</v>
      </c>
      <c r="T21" s="97">
        <f>SUM(O21:S21)</f>
        <v>3</v>
      </c>
      <c r="U21" s="99">
        <f t="shared" si="0"/>
        <v>0.7142857142857143</v>
      </c>
      <c r="V21" s="97">
        <f>Arnsberg14!E21</f>
        <v>0</v>
      </c>
      <c r="W21" s="97">
        <f>Detmold14!E21</f>
        <v>0</v>
      </c>
      <c r="X21" s="97">
        <v>0</v>
      </c>
      <c r="Y21" s="97">
        <v>3</v>
      </c>
      <c r="Z21" s="97">
        <v>0</v>
      </c>
      <c r="AA21" s="97">
        <f>SUM(V21:Z21)</f>
        <v>3</v>
      </c>
      <c r="AB21" s="99">
        <f t="shared" si="1"/>
        <v>0.7142857142857143</v>
      </c>
      <c r="AC21" s="101">
        <v>1</v>
      </c>
      <c r="AD21" s="101">
        <v>0</v>
      </c>
      <c r="AE21" s="101">
        <v>11</v>
      </c>
    </row>
    <row r="22" spans="1:34" ht="14.4" thickBot="1" x14ac:dyDescent="0.3">
      <c r="A22" s="89" t="s">
        <v>12</v>
      </c>
      <c r="B22" s="97">
        <v>957</v>
      </c>
      <c r="C22" s="97">
        <v>449</v>
      </c>
      <c r="D22" s="97">
        <v>1696</v>
      </c>
      <c r="E22" s="97">
        <v>1394</v>
      </c>
      <c r="F22" s="97">
        <v>691</v>
      </c>
      <c r="G22" s="98">
        <f t="shared" si="6"/>
        <v>5187</v>
      </c>
      <c r="H22" s="97">
        <v>2</v>
      </c>
      <c r="I22" s="97">
        <v>1</v>
      </c>
      <c r="J22" s="97">
        <v>5</v>
      </c>
      <c r="K22" s="97">
        <v>5</v>
      </c>
      <c r="L22" s="97">
        <v>1</v>
      </c>
      <c r="M22" s="97">
        <f>SUM(H22:L22)</f>
        <v>14</v>
      </c>
      <c r="N22" s="99">
        <f t="shared" si="3"/>
        <v>0.26990553306342779</v>
      </c>
      <c r="O22" s="97">
        <v>2</v>
      </c>
      <c r="P22" s="97">
        <v>4</v>
      </c>
      <c r="Q22" s="97">
        <v>8</v>
      </c>
      <c r="R22" s="97">
        <v>10</v>
      </c>
      <c r="S22" s="97">
        <v>1</v>
      </c>
      <c r="T22" s="97">
        <f>SUM(O22:S22)</f>
        <v>25</v>
      </c>
      <c r="U22" s="99">
        <f t="shared" si="0"/>
        <v>0.48197416618469252</v>
      </c>
      <c r="V22" s="97">
        <v>1</v>
      </c>
      <c r="W22" s="97">
        <v>2</v>
      </c>
      <c r="X22" s="97">
        <v>6</v>
      </c>
      <c r="Y22" s="97">
        <v>1</v>
      </c>
      <c r="Z22" s="97">
        <v>1</v>
      </c>
      <c r="AA22" s="97">
        <f>SUM(V22:Z22)</f>
        <v>11</v>
      </c>
      <c r="AB22" s="99">
        <f t="shared" si="1"/>
        <v>0.2120686331212647</v>
      </c>
      <c r="AC22" s="101">
        <v>3</v>
      </c>
      <c r="AD22" s="101">
        <v>5</v>
      </c>
      <c r="AE22" s="101">
        <v>89</v>
      </c>
    </row>
    <row r="23" spans="1:34" ht="14.4" thickBot="1" x14ac:dyDescent="0.3">
      <c r="A23" s="89" t="s">
        <v>13</v>
      </c>
      <c r="B23" s="97">
        <v>6</v>
      </c>
      <c r="C23" s="97">
        <v>2</v>
      </c>
      <c r="D23" s="97">
        <v>7</v>
      </c>
      <c r="E23" s="97">
        <v>5</v>
      </c>
      <c r="F23" s="97">
        <v>2</v>
      </c>
      <c r="G23" s="98">
        <f t="shared" si="6"/>
        <v>22</v>
      </c>
      <c r="H23" s="97">
        <v>1</v>
      </c>
      <c r="I23" s="97">
        <f>Detmold14!C23</f>
        <v>0</v>
      </c>
      <c r="J23" s="97">
        <f>Düsseldorf14!C23</f>
        <v>0</v>
      </c>
      <c r="K23" s="97">
        <f>Kölle14!C23</f>
        <v>0</v>
      </c>
      <c r="L23" s="97">
        <f>Münster14!C23</f>
        <v>0</v>
      </c>
      <c r="M23" s="97">
        <f>SUM(H23:L23)</f>
        <v>1</v>
      </c>
      <c r="N23" s="99">
        <f t="shared" si="3"/>
        <v>4.5454545454545459</v>
      </c>
      <c r="O23" s="97">
        <v>0</v>
      </c>
      <c r="P23" s="97">
        <f>Detmold14!D23</f>
        <v>0</v>
      </c>
      <c r="Q23" s="97">
        <v>2</v>
      </c>
      <c r="R23" s="97">
        <v>0</v>
      </c>
      <c r="S23" s="97">
        <f>Münster14!D23</f>
        <v>0</v>
      </c>
      <c r="T23" s="97">
        <f>SUM(O23:S23)</f>
        <v>2</v>
      </c>
      <c r="U23" s="99">
        <f t="shared" si="0"/>
        <v>9.0909090909090917</v>
      </c>
      <c r="V23" s="97">
        <f>Arnsberg14!E23</f>
        <v>0</v>
      </c>
      <c r="W23" s="97">
        <f>Detmold14!E23</f>
        <v>0</v>
      </c>
      <c r="X23" s="97">
        <v>0</v>
      </c>
      <c r="Y23" s="97">
        <f>Kölle14!E23</f>
        <v>0</v>
      </c>
      <c r="Z23" s="97">
        <f>Münster14!E23</f>
        <v>0</v>
      </c>
      <c r="AA23" s="97">
        <f>SUM(V23:Z23)</f>
        <v>0</v>
      </c>
      <c r="AB23" s="99">
        <f t="shared" si="1"/>
        <v>0</v>
      </c>
      <c r="AC23" s="101">
        <v>3</v>
      </c>
      <c r="AD23" s="101">
        <v>1</v>
      </c>
      <c r="AE23" s="101">
        <v>21</v>
      </c>
    </row>
    <row r="24" spans="1:34" ht="23.4" thickBot="1" x14ac:dyDescent="0.3">
      <c r="A24" s="139" t="s">
        <v>23</v>
      </c>
      <c r="B24" s="110">
        <v>452</v>
      </c>
      <c r="C24" s="110">
        <v>221</v>
      </c>
      <c r="D24" s="97">
        <v>607</v>
      </c>
      <c r="E24" s="110">
        <v>694</v>
      </c>
      <c r="F24" s="97">
        <v>215</v>
      </c>
      <c r="G24" s="98">
        <f t="shared" si="6"/>
        <v>2189</v>
      </c>
      <c r="H24" s="110">
        <v>0</v>
      </c>
      <c r="I24" s="97">
        <v>1</v>
      </c>
      <c r="J24" s="97">
        <v>1</v>
      </c>
      <c r="K24" s="97">
        <v>2</v>
      </c>
      <c r="L24" s="97">
        <v>0</v>
      </c>
      <c r="M24" s="97">
        <f>SUM(H24:L24)</f>
        <v>4</v>
      </c>
      <c r="N24" s="99">
        <f t="shared" si="3"/>
        <v>0.18273184102329831</v>
      </c>
      <c r="O24" s="110">
        <v>3</v>
      </c>
      <c r="P24" s="97">
        <v>1</v>
      </c>
      <c r="Q24" s="110">
        <v>4</v>
      </c>
      <c r="R24" s="110">
        <v>9</v>
      </c>
      <c r="S24" s="97">
        <v>0</v>
      </c>
      <c r="T24" s="97">
        <f>SUM(O24:S24)</f>
        <v>17</v>
      </c>
      <c r="U24" s="99">
        <f t="shared" si="0"/>
        <v>0.77661032434901778</v>
      </c>
      <c r="V24" s="110">
        <v>1</v>
      </c>
      <c r="W24" s="110">
        <v>3</v>
      </c>
      <c r="X24" s="110">
        <v>3</v>
      </c>
      <c r="Y24" s="110">
        <v>3</v>
      </c>
      <c r="Z24" s="110">
        <f>Münster14!E24</f>
        <v>0</v>
      </c>
      <c r="AA24" s="97">
        <f>SUM(V24:Z24)</f>
        <v>10</v>
      </c>
      <c r="AB24" s="99">
        <f t="shared" si="1"/>
        <v>0.45682960255824578</v>
      </c>
      <c r="AC24" s="101">
        <v>2</v>
      </c>
      <c r="AD24" s="101">
        <v>1</v>
      </c>
      <c r="AE24" s="101">
        <v>50</v>
      </c>
    </row>
    <row r="25" spans="1:34" s="132" customFormat="1" ht="14.4" thickBot="1" x14ac:dyDescent="0.3">
      <c r="A25" s="128" t="s">
        <v>22</v>
      </c>
      <c r="B25" s="111">
        <f t="shared" ref="B25:I25" si="10">SUM(B14:B24)</f>
        <v>1855</v>
      </c>
      <c r="C25" s="111">
        <f t="shared" si="10"/>
        <v>793</v>
      </c>
      <c r="D25" s="111">
        <f t="shared" si="10"/>
        <v>2949</v>
      </c>
      <c r="E25" s="111">
        <f t="shared" si="10"/>
        <v>2698</v>
      </c>
      <c r="F25" s="111">
        <f t="shared" si="10"/>
        <v>1137</v>
      </c>
      <c r="G25" s="102">
        <f t="shared" si="10"/>
        <v>9432</v>
      </c>
      <c r="H25" s="111">
        <f t="shared" si="10"/>
        <v>5</v>
      </c>
      <c r="I25" s="111">
        <f t="shared" si="10"/>
        <v>2</v>
      </c>
      <c r="J25" s="111">
        <f>SUM(J14:J24)</f>
        <v>7</v>
      </c>
      <c r="K25" s="111">
        <f t="shared" ref="K25:L25" si="11">SUM(K14:K24)</f>
        <v>13</v>
      </c>
      <c r="L25" s="111">
        <f t="shared" si="11"/>
        <v>1</v>
      </c>
      <c r="M25" s="103">
        <f>SUM(M14:M24)</f>
        <v>28</v>
      </c>
      <c r="N25" s="104">
        <f t="shared" si="3"/>
        <v>0.29686174724342662</v>
      </c>
      <c r="O25" s="111">
        <f t="shared" ref="O25:T25" si="12">SUM(O14:O24)</f>
        <v>5</v>
      </c>
      <c r="P25" s="111">
        <f t="shared" si="12"/>
        <v>5</v>
      </c>
      <c r="Q25" s="111">
        <f t="shared" si="12"/>
        <v>18</v>
      </c>
      <c r="R25" s="111">
        <f>SUM(R14:R24)</f>
        <v>26</v>
      </c>
      <c r="S25" s="111">
        <f t="shared" si="12"/>
        <v>2</v>
      </c>
      <c r="T25" s="103">
        <f t="shared" si="12"/>
        <v>56</v>
      </c>
      <c r="U25" s="104">
        <f t="shared" si="0"/>
        <v>0.59372349448685324</v>
      </c>
      <c r="V25" s="111">
        <f t="shared" ref="V25:AA25" si="13">SUM(V14:V24)</f>
        <v>7</v>
      </c>
      <c r="W25" s="111">
        <f t="shared" si="13"/>
        <v>7</v>
      </c>
      <c r="X25" s="111">
        <f t="shared" si="13"/>
        <v>9</v>
      </c>
      <c r="Y25" s="111">
        <f t="shared" si="13"/>
        <v>9</v>
      </c>
      <c r="Z25" s="111">
        <f t="shared" si="13"/>
        <v>2</v>
      </c>
      <c r="AA25" s="103">
        <f t="shared" si="13"/>
        <v>34</v>
      </c>
      <c r="AB25" s="104">
        <f t="shared" si="1"/>
        <v>0.36047497879558948</v>
      </c>
      <c r="AC25" s="107">
        <f>SUM(AC14:AC24)</f>
        <v>9</v>
      </c>
      <c r="AD25" s="107">
        <f>SUM(AD14:AD24)</f>
        <v>8</v>
      </c>
      <c r="AE25" s="107">
        <f>SUM(AE14:AE24)</f>
        <v>223</v>
      </c>
    </row>
    <row r="26" spans="1:34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4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4" ht="14.4" thickBot="1" x14ac:dyDescent="0.3">
      <c r="A28" s="89" t="s">
        <v>15</v>
      </c>
      <c r="B28" s="97">
        <v>3065</v>
      </c>
      <c r="C28" s="97">
        <v>1846</v>
      </c>
      <c r="D28" s="97">
        <v>3585</v>
      </c>
      <c r="E28" s="97">
        <v>3263</v>
      </c>
      <c r="F28" s="97">
        <v>2986</v>
      </c>
      <c r="G28" s="98">
        <f>SUM(B28:F28)</f>
        <v>14745</v>
      </c>
      <c r="H28" s="97">
        <v>5</v>
      </c>
      <c r="I28" s="97">
        <v>1</v>
      </c>
      <c r="J28" s="97">
        <v>0</v>
      </c>
      <c r="K28" s="97">
        <v>4</v>
      </c>
      <c r="L28" s="97">
        <v>0</v>
      </c>
      <c r="M28" s="97">
        <f t="shared" ref="M28:M36" si="14">SUM(H28:L28)</f>
        <v>10</v>
      </c>
      <c r="N28" s="99">
        <f t="shared" si="3"/>
        <v>6.7819599864360799E-2</v>
      </c>
      <c r="O28" s="97">
        <v>7</v>
      </c>
      <c r="P28" s="97">
        <v>3</v>
      </c>
      <c r="Q28" s="97">
        <v>6</v>
      </c>
      <c r="R28" s="97">
        <v>5</v>
      </c>
      <c r="S28" s="97">
        <v>2</v>
      </c>
      <c r="T28" s="97">
        <f>SUM(O28:S28)</f>
        <v>23</v>
      </c>
      <c r="U28" s="99">
        <f t="shared" si="0"/>
        <v>0.15598507968802985</v>
      </c>
      <c r="V28" s="97">
        <v>0</v>
      </c>
      <c r="W28" s="97">
        <v>1</v>
      </c>
      <c r="X28" s="97">
        <v>0</v>
      </c>
      <c r="Y28" s="97">
        <v>0</v>
      </c>
      <c r="Z28" s="97">
        <v>2</v>
      </c>
      <c r="AA28" s="97">
        <f t="shared" ref="AA28:AA36" si="15">SUM(V28:Z28)</f>
        <v>3</v>
      </c>
      <c r="AB28" s="99">
        <f t="shared" si="1"/>
        <v>2.0345879959308241E-2</v>
      </c>
      <c r="AC28" s="101">
        <v>0</v>
      </c>
      <c r="AD28" s="101">
        <v>0</v>
      </c>
      <c r="AE28" s="101">
        <v>57</v>
      </c>
    </row>
    <row r="29" spans="1:34" ht="14.4" thickBot="1" x14ac:dyDescent="0.3">
      <c r="A29" s="89" t="s">
        <v>16</v>
      </c>
      <c r="B29" s="97">
        <v>1273</v>
      </c>
      <c r="C29" s="97">
        <v>817</v>
      </c>
      <c r="D29" s="97">
        <v>1804</v>
      </c>
      <c r="E29" s="97">
        <v>1443</v>
      </c>
      <c r="F29" s="97">
        <v>951</v>
      </c>
      <c r="G29" s="98">
        <f t="shared" ref="G29:G36" si="16">SUM(B29:F29)</f>
        <v>6288</v>
      </c>
      <c r="H29" s="97">
        <v>1</v>
      </c>
      <c r="I29" s="97">
        <v>2</v>
      </c>
      <c r="J29" s="97">
        <v>8</v>
      </c>
      <c r="K29" s="97">
        <v>5</v>
      </c>
      <c r="L29" s="97">
        <v>2</v>
      </c>
      <c r="M29" s="97">
        <f t="shared" si="14"/>
        <v>18</v>
      </c>
      <c r="N29" s="99">
        <f t="shared" si="3"/>
        <v>0.2862595419847328</v>
      </c>
      <c r="O29" s="97">
        <v>6</v>
      </c>
      <c r="P29" s="97">
        <v>1</v>
      </c>
      <c r="Q29" s="97">
        <v>7</v>
      </c>
      <c r="R29" s="97">
        <v>4</v>
      </c>
      <c r="S29" s="97">
        <v>1</v>
      </c>
      <c r="T29" s="97">
        <f t="shared" ref="T29:T36" si="17">SUM(O29:S29)</f>
        <v>19</v>
      </c>
      <c r="U29" s="99">
        <f t="shared" si="0"/>
        <v>0.30216284987277353</v>
      </c>
      <c r="V29" s="97">
        <v>0</v>
      </c>
      <c r="W29" s="97">
        <v>4</v>
      </c>
      <c r="X29" s="97">
        <v>3</v>
      </c>
      <c r="Y29" s="97">
        <v>0</v>
      </c>
      <c r="Z29" s="97">
        <v>1</v>
      </c>
      <c r="AA29" s="97">
        <f t="shared" si="15"/>
        <v>8</v>
      </c>
      <c r="AB29" s="99">
        <f t="shared" si="1"/>
        <v>0.1272264631043257</v>
      </c>
      <c r="AC29" s="101">
        <v>5</v>
      </c>
      <c r="AD29" s="101">
        <v>7</v>
      </c>
      <c r="AE29" s="101">
        <v>53</v>
      </c>
    </row>
    <row r="30" spans="1:34" ht="14.4" thickBot="1" x14ac:dyDescent="0.3">
      <c r="A30" s="89" t="s">
        <v>34</v>
      </c>
      <c r="B30" s="97">
        <v>1019</v>
      </c>
      <c r="C30" s="97">
        <v>654</v>
      </c>
      <c r="D30" s="97">
        <v>864</v>
      </c>
      <c r="E30" s="97">
        <v>829</v>
      </c>
      <c r="F30" s="97">
        <v>1292</v>
      </c>
      <c r="G30" s="98">
        <f t="shared" si="16"/>
        <v>4658</v>
      </c>
      <c r="H30" s="97">
        <v>1</v>
      </c>
      <c r="I30" s="97">
        <v>1</v>
      </c>
      <c r="J30" s="97">
        <v>1</v>
      </c>
      <c r="K30" s="97">
        <v>2</v>
      </c>
      <c r="L30" s="97">
        <v>0</v>
      </c>
      <c r="M30" s="97">
        <f t="shared" si="14"/>
        <v>5</v>
      </c>
      <c r="N30" s="99">
        <f t="shared" si="3"/>
        <v>0.10734220695577501</v>
      </c>
      <c r="O30" s="97">
        <v>4</v>
      </c>
      <c r="P30" s="97">
        <v>2</v>
      </c>
      <c r="Q30" s="97">
        <v>12</v>
      </c>
      <c r="R30" s="97">
        <v>7</v>
      </c>
      <c r="S30" s="97">
        <v>7</v>
      </c>
      <c r="T30" s="97">
        <f t="shared" si="17"/>
        <v>32</v>
      </c>
      <c r="U30" s="99">
        <f t="shared" si="0"/>
        <v>0.68699012451696007</v>
      </c>
      <c r="V30" s="97">
        <v>2</v>
      </c>
      <c r="W30" s="97">
        <v>1</v>
      </c>
      <c r="X30" s="97">
        <v>1</v>
      </c>
      <c r="Y30" s="97">
        <v>1</v>
      </c>
      <c r="Z30" s="97">
        <v>1</v>
      </c>
      <c r="AA30" s="97">
        <f t="shared" si="15"/>
        <v>6</v>
      </c>
      <c r="AB30" s="99">
        <f t="shared" si="1"/>
        <v>0.12881064834693001</v>
      </c>
      <c r="AC30" s="101">
        <v>4</v>
      </c>
      <c r="AD30" s="101">
        <v>1</v>
      </c>
      <c r="AE30" s="101">
        <v>12</v>
      </c>
    </row>
    <row r="31" spans="1:34" ht="14.4" thickBot="1" x14ac:dyDescent="0.3">
      <c r="A31" s="89" t="s">
        <v>17</v>
      </c>
      <c r="B31" s="97">
        <v>6952</v>
      </c>
      <c r="C31" s="97">
        <v>3818</v>
      </c>
      <c r="D31" s="97">
        <v>8829</v>
      </c>
      <c r="E31" s="97">
        <v>7159</v>
      </c>
      <c r="F31" s="97">
        <v>5800</v>
      </c>
      <c r="G31" s="98">
        <f t="shared" si="16"/>
        <v>32558</v>
      </c>
      <c r="H31" s="97">
        <v>2</v>
      </c>
      <c r="I31" s="97">
        <v>1</v>
      </c>
      <c r="J31" s="97">
        <v>6</v>
      </c>
      <c r="K31" s="97">
        <v>2</v>
      </c>
      <c r="L31" s="97">
        <v>3</v>
      </c>
      <c r="M31" s="97">
        <f t="shared" si="14"/>
        <v>14</v>
      </c>
      <c r="N31" s="99">
        <f t="shared" si="3"/>
        <v>4.3000184286504088E-2</v>
      </c>
      <c r="O31" s="97">
        <v>1</v>
      </c>
      <c r="P31" s="97">
        <v>3</v>
      </c>
      <c r="Q31" s="97">
        <v>8</v>
      </c>
      <c r="R31" s="97">
        <v>5</v>
      </c>
      <c r="S31" s="97">
        <v>2</v>
      </c>
      <c r="T31" s="97">
        <f t="shared" si="17"/>
        <v>19</v>
      </c>
      <c r="U31" s="99">
        <f t="shared" si="0"/>
        <v>5.8357392960255543E-2</v>
      </c>
      <c r="V31" s="97">
        <v>1</v>
      </c>
      <c r="W31" s="97">
        <v>2</v>
      </c>
      <c r="X31" s="97">
        <v>2</v>
      </c>
      <c r="Y31" s="97">
        <v>1</v>
      </c>
      <c r="Z31" s="97">
        <v>0</v>
      </c>
      <c r="AA31" s="97">
        <f t="shared" si="15"/>
        <v>6</v>
      </c>
      <c r="AB31" s="99">
        <f t="shared" si="1"/>
        <v>1.8428650408501751E-2</v>
      </c>
      <c r="AC31" s="101">
        <v>3</v>
      </c>
      <c r="AD31" s="101">
        <v>7</v>
      </c>
      <c r="AE31" s="101">
        <v>110</v>
      </c>
      <c r="AH31" t="s">
        <v>52</v>
      </c>
    </row>
    <row r="32" spans="1:34" ht="14.4" thickBot="1" x14ac:dyDescent="0.3">
      <c r="A32" s="89" t="s">
        <v>18</v>
      </c>
      <c r="B32" s="97">
        <v>1687</v>
      </c>
      <c r="C32" s="97">
        <v>1264</v>
      </c>
      <c r="D32" s="97">
        <v>1615</v>
      </c>
      <c r="E32" s="97">
        <v>1315</v>
      </c>
      <c r="F32" s="97">
        <v>3005</v>
      </c>
      <c r="G32" s="98">
        <f t="shared" si="16"/>
        <v>8886</v>
      </c>
      <c r="H32" s="97">
        <v>0</v>
      </c>
      <c r="I32" s="97">
        <v>2</v>
      </c>
      <c r="J32" s="97">
        <v>5</v>
      </c>
      <c r="K32" s="97">
        <v>1</v>
      </c>
      <c r="L32" s="97">
        <v>0</v>
      </c>
      <c r="M32" s="97">
        <f t="shared" si="14"/>
        <v>8</v>
      </c>
      <c r="N32" s="99">
        <f t="shared" si="3"/>
        <v>9.0029259509340542E-2</v>
      </c>
      <c r="O32" s="97">
        <v>3</v>
      </c>
      <c r="P32" s="97">
        <v>0</v>
      </c>
      <c r="Q32" s="97">
        <v>1</v>
      </c>
      <c r="R32" s="97">
        <v>1</v>
      </c>
      <c r="S32" s="97">
        <v>4</v>
      </c>
      <c r="T32" s="97">
        <f t="shared" si="17"/>
        <v>9</v>
      </c>
      <c r="U32" s="99">
        <f t="shared" si="0"/>
        <v>0.1012829169480081</v>
      </c>
      <c r="V32" s="97">
        <v>0</v>
      </c>
      <c r="W32" s="97">
        <v>0</v>
      </c>
      <c r="X32" s="97">
        <v>4</v>
      </c>
      <c r="Y32" s="97">
        <v>1</v>
      </c>
      <c r="Z32" s="97">
        <v>0</v>
      </c>
      <c r="AA32" s="97">
        <f t="shared" si="15"/>
        <v>5</v>
      </c>
      <c r="AB32" s="99">
        <f t="shared" si="1"/>
        <v>5.6268287193337832E-2</v>
      </c>
      <c r="AC32" s="101">
        <v>5</v>
      </c>
      <c r="AD32" s="101">
        <v>2</v>
      </c>
      <c r="AE32" s="101">
        <v>40</v>
      </c>
    </row>
    <row r="33" spans="1:32" ht="14.4" thickBot="1" x14ac:dyDescent="0.3">
      <c r="A33" s="89" t="s">
        <v>19</v>
      </c>
      <c r="B33" s="97">
        <v>9524</v>
      </c>
      <c r="C33" s="97">
        <v>5744</v>
      </c>
      <c r="D33" s="97">
        <v>11052</v>
      </c>
      <c r="E33" s="97">
        <v>9515</v>
      </c>
      <c r="F33" s="97">
        <v>6642</v>
      </c>
      <c r="G33" s="98">
        <f t="shared" si="16"/>
        <v>42477</v>
      </c>
      <c r="H33" s="97">
        <v>23</v>
      </c>
      <c r="I33" s="97">
        <v>6</v>
      </c>
      <c r="J33" s="97">
        <v>32</v>
      </c>
      <c r="K33" s="97">
        <v>29</v>
      </c>
      <c r="L33" s="97">
        <v>9</v>
      </c>
      <c r="M33" s="97">
        <f t="shared" si="14"/>
        <v>99</v>
      </c>
      <c r="N33" s="99">
        <f t="shared" si="3"/>
        <v>0.23306730701320716</v>
      </c>
      <c r="O33" s="97">
        <v>37</v>
      </c>
      <c r="P33" s="97">
        <v>14</v>
      </c>
      <c r="Q33" s="97">
        <v>47</v>
      </c>
      <c r="R33" s="97">
        <v>37</v>
      </c>
      <c r="S33" s="97">
        <v>18</v>
      </c>
      <c r="T33" s="97">
        <f t="shared" si="17"/>
        <v>153</v>
      </c>
      <c r="U33" s="99">
        <f t="shared" si="0"/>
        <v>0.36019492902041106</v>
      </c>
      <c r="V33" s="97">
        <v>7</v>
      </c>
      <c r="W33" s="97">
        <v>4</v>
      </c>
      <c r="X33" s="97">
        <v>21</v>
      </c>
      <c r="Y33" s="97">
        <v>3</v>
      </c>
      <c r="Z33" s="97">
        <v>7</v>
      </c>
      <c r="AA33" s="97">
        <f t="shared" si="15"/>
        <v>42</v>
      </c>
      <c r="AB33" s="99">
        <f t="shared" si="1"/>
        <v>9.8877039338936365E-2</v>
      </c>
      <c r="AC33" s="101">
        <v>27</v>
      </c>
      <c r="AD33" s="101">
        <v>21</v>
      </c>
      <c r="AE33" s="101">
        <v>285</v>
      </c>
    </row>
    <row r="34" spans="1:32" ht="14.4" thickBot="1" x14ac:dyDescent="0.3">
      <c r="A34" s="89" t="s">
        <v>20</v>
      </c>
      <c r="B34" s="97">
        <v>7311</v>
      </c>
      <c r="C34" s="97">
        <v>4642</v>
      </c>
      <c r="D34" s="97">
        <v>8633</v>
      </c>
      <c r="E34" s="97">
        <v>8573</v>
      </c>
      <c r="F34" s="97">
        <v>4807</v>
      </c>
      <c r="G34" s="98">
        <f t="shared" si="16"/>
        <v>33966</v>
      </c>
      <c r="H34" s="97">
        <v>6</v>
      </c>
      <c r="I34" s="97">
        <v>16</v>
      </c>
      <c r="J34" s="97">
        <v>30</v>
      </c>
      <c r="K34" s="97">
        <v>4</v>
      </c>
      <c r="L34" s="97">
        <v>7</v>
      </c>
      <c r="M34" s="97">
        <f t="shared" si="14"/>
        <v>63</v>
      </c>
      <c r="N34" s="99">
        <f t="shared" si="3"/>
        <v>0.18547959724430313</v>
      </c>
      <c r="O34" s="97">
        <v>10</v>
      </c>
      <c r="P34" s="97">
        <v>12</v>
      </c>
      <c r="Q34" s="97">
        <v>31</v>
      </c>
      <c r="R34" s="97">
        <v>22</v>
      </c>
      <c r="S34" s="97">
        <v>11</v>
      </c>
      <c r="T34" s="97">
        <f t="shared" si="17"/>
        <v>86</v>
      </c>
      <c r="U34" s="99">
        <f t="shared" si="0"/>
        <v>0.25319437084142965</v>
      </c>
      <c r="V34" s="97">
        <v>1</v>
      </c>
      <c r="W34" s="97">
        <v>2</v>
      </c>
      <c r="X34" s="97">
        <v>11</v>
      </c>
      <c r="Y34" s="97">
        <v>5</v>
      </c>
      <c r="Z34" s="97">
        <v>9</v>
      </c>
      <c r="AA34" s="97">
        <f t="shared" si="15"/>
        <v>28</v>
      </c>
      <c r="AB34" s="99">
        <f t="shared" si="1"/>
        <v>8.2435376553023618E-2</v>
      </c>
      <c r="AC34" s="101">
        <v>33</v>
      </c>
      <c r="AD34" s="101">
        <v>12</v>
      </c>
      <c r="AE34" s="101">
        <v>298</v>
      </c>
    </row>
    <row r="35" spans="1:32" ht="14.4" thickBot="1" x14ac:dyDescent="0.3">
      <c r="A35" s="89" t="s">
        <v>25</v>
      </c>
      <c r="B35" s="97">
        <v>129</v>
      </c>
      <c r="C35" s="97">
        <v>136</v>
      </c>
      <c r="D35" s="97">
        <v>386</v>
      </c>
      <c r="E35" s="97">
        <v>129</v>
      </c>
      <c r="F35" s="97">
        <v>176</v>
      </c>
      <c r="G35" s="98">
        <f t="shared" si="16"/>
        <v>956</v>
      </c>
      <c r="H35" s="97">
        <v>0</v>
      </c>
      <c r="I35" s="97">
        <v>0</v>
      </c>
      <c r="J35" s="97">
        <v>1</v>
      </c>
      <c r="K35" s="97">
        <v>1</v>
      </c>
      <c r="L35" s="97">
        <v>0</v>
      </c>
      <c r="M35" s="97">
        <f t="shared" si="14"/>
        <v>2</v>
      </c>
      <c r="N35" s="99">
        <f t="shared" si="3"/>
        <v>0.20920502092050208</v>
      </c>
      <c r="O35" s="97">
        <v>1</v>
      </c>
      <c r="P35" s="97">
        <v>0</v>
      </c>
      <c r="Q35" s="97">
        <v>2</v>
      </c>
      <c r="R35" s="97">
        <v>9</v>
      </c>
      <c r="S35" s="97">
        <v>0</v>
      </c>
      <c r="T35" s="97">
        <f t="shared" si="17"/>
        <v>12</v>
      </c>
      <c r="U35" s="99">
        <f t="shared" si="0"/>
        <v>1.2552301255230125</v>
      </c>
      <c r="V35" s="97">
        <v>1</v>
      </c>
      <c r="W35" s="97">
        <v>0</v>
      </c>
      <c r="X35" s="97">
        <v>0</v>
      </c>
      <c r="Y35" s="97">
        <v>0</v>
      </c>
      <c r="Z35" s="97">
        <v>0</v>
      </c>
      <c r="AA35" s="97">
        <f t="shared" si="15"/>
        <v>1</v>
      </c>
      <c r="AB35" s="99">
        <f t="shared" si="1"/>
        <v>0.10460251046025104</v>
      </c>
      <c r="AC35" s="101">
        <v>4</v>
      </c>
      <c r="AD35" s="101">
        <v>3</v>
      </c>
      <c r="AE35" s="101">
        <v>46</v>
      </c>
    </row>
    <row r="36" spans="1:32" ht="14.4" thickBot="1" x14ac:dyDescent="0.3">
      <c r="A36" s="89" t="s">
        <v>26</v>
      </c>
      <c r="B36" s="97">
        <v>77513</v>
      </c>
      <c r="C36" s="97">
        <v>52491</v>
      </c>
      <c r="D36" s="97">
        <v>113013</v>
      </c>
      <c r="E36" s="97">
        <v>100087</v>
      </c>
      <c r="F36" s="97">
        <v>67410</v>
      </c>
      <c r="G36" s="98">
        <f t="shared" si="16"/>
        <v>410514</v>
      </c>
      <c r="H36" s="97">
        <v>113</v>
      </c>
      <c r="I36" s="97">
        <v>56</v>
      </c>
      <c r="J36" s="97">
        <v>162</v>
      </c>
      <c r="K36" s="97">
        <v>118</v>
      </c>
      <c r="L36" s="97">
        <v>52</v>
      </c>
      <c r="M36" s="97">
        <f t="shared" si="14"/>
        <v>501</v>
      </c>
      <c r="N36" s="99">
        <f t="shared" si="3"/>
        <v>0.1220421228021456</v>
      </c>
      <c r="O36" s="97">
        <v>155</v>
      </c>
      <c r="P36" s="97">
        <v>87</v>
      </c>
      <c r="Q36" s="97">
        <v>197</v>
      </c>
      <c r="R36" s="97">
        <v>179</v>
      </c>
      <c r="S36" s="97">
        <v>67</v>
      </c>
      <c r="T36" s="97">
        <f t="shared" si="17"/>
        <v>685</v>
      </c>
      <c r="U36" s="99">
        <f t="shared" si="0"/>
        <v>0.1668639802783827</v>
      </c>
      <c r="V36" s="97">
        <v>189</v>
      </c>
      <c r="W36" s="97">
        <v>23</v>
      </c>
      <c r="X36" s="97">
        <v>123</v>
      </c>
      <c r="Y36" s="97">
        <v>48</v>
      </c>
      <c r="Z36" s="97">
        <v>42</v>
      </c>
      <c r="AA36" s="97">
        <f t="shared" si="15"/>
        <v>425</v>
      </c>
      <c r="AB36" s="99">
        <f t="shared" si="1"/>
        <v>0.10352874688804767</v>
      </c>
      <c r="AC36" s="101">
        <v>96</v>
      </c>
      <c r="AD36" s="101">
        <v>68</v>
      </c>
      <c r="AE36" s="97">
        <v>2911</v>
      </c>
    </row>
    <row r="37" spans="1:32" s="132" customFormat="1" ht="14.4" thickBot="1" x14ac:dyDescent="0.3">
      <c r="A37" s="128" t="s">
        <v>21</v>
      </c>
      <c r="B37" s="111">
        <f t="shared" ref="B37:M37" si="18">SUM(B28:B36)</f>
        <v>108473</v>
      </c>
      <c r="C37" s="111">
        <f t="shared" si="18"/>
        <v>71412</v>
      </c>
      <c r="D37" s="111">
        <f t="shared" si="18"/>
        <v>149781</v>
      </c>
      <c r="E37" s="111">
        <f>SUM(E28:E36)</f>
        <v>132313</v>
      </c>
      <c r="F37" s="111">
        <f t="shared" si="18"/>
        <v>93069</v>
      </c>
      <c r="G37" s="102">
        <f t="shared" si="18"/>
        <v>555048</v>
      </c>
      <c r="H37" s="111">
        <f t="shared" si="18"/>
        <v>151</v>
      </c>
      <c r="I37" s="111">
        <f t="shared" si="18"/>
        <v>85</v>
      </c>
      <c r="J37" s="111">
        <f t="shared" si="18"/>
        <v>245</v>
      </c>
      <c r="K37" s="111">
        <f>SUM(K28:K36)</f>
        <v>166</v>
      </c>
      <c r="L37" s="111">
        <f t="shared" si="18"/>
        <v>73</v>
      </c>
      <c r="M37" s="103">
        <f t="shared" si="18"/>
        <v>720</v>
      </c>
      <c r="N37" s="104">
        <f t="shared" si="3"/>
        <v>0.12971851083149566</v>
      </c>
      <c r="O37" s="111">
        <f t="shared" ref="O37:T37" si="19">SUM(O28:O36)</f>
        <v>224</v>
      </c>
      <c r="P37" s="111">
        <f t="shared" si="19"/>
        <v>122</v>
      </c>
      <c r="Q37" s="111">
        <f t="shared" si="19"/>
        <v>311</v>
      </c>
      <c r="R37" s="111">
        <f>SUM(R28:R36)</f>
        <v>269</v>
      </c>
      <c r="S37" s="111">
        <f t="shared" si="19"/>
        <v>112</v>
      </c>
      <c r="T37" s="103">
        <f t="shared" si="19"/>
        <v>1038</v>
      </c>
      <c r="U37" s="104">
        <f t="shared" si="0"/>
        <v>0.18701085311540624</v>
      </c>
      <c r="V37" s="111">
        <f t="shared" ref="V37:AA37" si="20">SUM(V28:V36)</f>
        <v>201</v>
      </c>
      <c r="W37" s="111">
        <f t="shared" si="20"/>
        <v>37</v>
      </c>
      <c r="X37" s="111">
        <f t="shared" si="20"/>
        <v>165</v>
      </c>
      <c r="Y37" s="111">
        <f>SUM(Y28:Y36)</f>
        <v>59</v>
      </c>
      <c r="Z37" s="111">
        <f t="shared" si="20"/>
        <v>62</v>
      </c>
      <c r="AA37" s="103">
        <f t="shared" si="20"/>
        <v>524</v>
      </c>
      <c r="AB37" s="104">
        <f t="shared" si="1"/>
        <v>9.4406249549588497E-2</v>
      </c>
      <c r="AC37" s="107">
        <f>SUM(AC28:AC36)</f>
        <v>177</v>
      </c>
      <c r="AD37" s="107">
        <f>SUM(AD28:AD36)</f>
        <v>121</v>
      </c>
      <c r="AE37" s="114">
        <f>SUM(AE28:AE36)</f>
        <v>3812</v>
      </c>
      <c r="AF37" s="143"/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208</v>
      </c>
      <c r="C40" s="97">
        <v>133</v>
      </c>
      <c r="D40" s="97">
        <v>209</v>
      </c>
      <c r="E40" s="97">
        <v>225</v>
      </c>
      <c r="F40" s="97">
        <v>117</v>
      </c>
      <c r="G40" s="98">
        <f>SUM(B40:F40)</f>
        <v>892</v>
      </c>
      <c r="H40" s="97">
        <v>1</v>
      </c>
      <c r="I40" s="97">
        <v>0</v>
      </c>
      <c r="J40" s="97">
        <v>0</v>
      </c>
      <c r="K40" s="97">
        <v>3</v>
      </c>
      <c r="L40" s="120">
        <v>0</v>
      </c>
      <c r="M40" s="97">
        <f>SUM(H40:L40)</f>
        <v>4</v>
      </c>
      <c r="N40" s="99">
        <f t="shared" si="3"/>
        <v>0.44843049327354262</v>
      </c>
      <c r="O40" s="97">
        <v>1</v>
      </c>
      <c r="P40" s="97">
        <v>1</v>
      </c>
      <c r="Q40" s="97">
        <v>3</v>
      </c>
      <c r="R40" s="97">
        <v>2</v>
      </c>
      <c r="S40" s="97">
        <v>0</v>
      </c>
      <c r="T40" s="97">
        <f>SUM(O40:S40)</f>
        <v>7</v>
      </c>
      <c r="U40" s="99">
        <f t="shared" si="0"/>
        <v>0.7847533632286996</v>
      </c>
      <c r="V40" s="133">
        <v>0</v>
      </c>
      <c r="W40" s="133">
        <v>0</v>
      </c>
      <c r="X40" s="133">
        <v>0</v>
      </c>
      <c r="Y40" s="133">
        <v>2</v>
      </c>
      <c r="Z40" s="133">
        <v>0</v>
      </c>
      <c r="AA40" s="101">
        <f>SUM(V40:Z40)</f>
        <v>2</v>
      </c>
      <c r="AB40" s="99">
        <f t="shared" si="1"/>
        <v>0.22421524663677131</v>
      </c>
      <c r="AC40" s="101">
        <v>0</v>
      </c>
      <c r="AD40" s="101">
        <v>0</v>
      </c>
      <c r="AE40" s="101">
        <v>7</v>
      </c>
    </row>
    <row r="41" spans="1:32" ht="14.4" thickBot="1" x14ac:dyDescent="0.3">
      <c r="A41" s="89" t="s">
        <v>27</v>
      </c>
      <c r="B41" s="97">
        <v>75666</v>
      </c>
      <c r="C41" s="97">
        <v>50524</v>
      </c>
      <c r="D41" s="109">
        <v>41477</v>
      </c>
      <c r="E41" s="97">
        <v>75575</v>
      </c>
      <c r="F41" s="97">
        <v>68813</v>
      </c>
      <c r="G41" s="98">
        <f>SUM(B41:F41)</f>
        <v>312055</v>
      </c>
      <c r="H41" s="97">
        <v>22</v>
      </c>
      <c r="I41" s="97">
        <v>8</v>
      </c>
      <c r="J41" s="97">
        <v>49</v>
      </c>
      <c r="K41" s="97">
        <v>28</v>
      </c>
      <c r="L41" s="97">
        <v>16</v>
      </c>
      <c r="M41" s="97">
        <f>SUM(H41:L41)</f>
        <v>123</v>
      </c>
      <c r="N41" s="99">
        <f t="shared" si="3"/>
        <v>3.9416128567079524E-2</v>
      </c>
      <c r="O41" s="97">
        <v>17</v>
      </c>
      <c r="P41" s="97">
        <v>5</v>
      </c>
      <c r="Q41" s="97">
        <v>20</v>
      </c>
      <c r="R41" s="97">
        <v>21</v>
      </c>
      <c r="S41" s="97">
        <v>23</v>
      </c>
      <c r="T41" s="97">
        <f>SUM(O41:S41)</f>
        <v>86</v>
      </c>
      <c r="U41" s="99">
        <f t="shared" si="0"/>
        <v>2.7559244363974299E-2</v>
      </c>
      <c r="V41" s="109">
        <v>24</v>
      </c>
      <c r="W41" s="109">
        <v>3</v>
      </c>
      <c r="X41" s="133">
        <v>19</v>
      </c>
      <c r="Y41" s="133">
        <v>10</v>
      </c>
      <c r="Z41" s="133">
        <v>7</v>
      </c>
      <c r="AA41" s="97">
        <f>SUM(V41:Z41)</f>
        <v>63</v>
      </c>
      <c r="AB41" s="99">
        <f t="shared" si="1"/>
        <v>2.0188748778260244E-2</v>
      </c>
      <c r="AC41" s="101">
        <v>12</v>
      </c>
      <c r="AD41" s="101">
        <v>24</v>
      </c>
      <c r="AE41" s="101">
        <v>443</v>
      </c>
    </row>
    <row r="42" spans="1:32" s="132" customFormat="1" ht="14.4" thickBot="1" x14ac:dyDescent="0.3">
      <c r="A42" s="128" t="s">
        <v>21</v>
      </c>
      <c r="B42" s="111">
        <f>SUM(B40:B41)</f>
        <v>75874</v>
      </c>
      <c r="C42" s="111">
        <f>SUM(C40:C41)</f>
        <v>50657</v>
      </c>
      <c r="D42" s="111">
        <f>SUM(D40:D41)</f>
        <v>41686</v>
      </c>
      <c r="E42" s="111">
        <f>SUM(E40:E41)</f>
        <v>75800</v>
      </c>
      <c r="F42" s="111">
        <f>SUM(F40:F41)</f>
        <v>68930</v>
      </c>
      <c r="G42" s="102">
        <f t="shared" ref="G42:M42" si="21">SUM(G40:G41)</f>
        <v>312947</v>
      </c>
      <c r="H42" s="115">
        <f>SUM(H40:H41)</f>
        <v>23</v>
      </c>
      <c r="I42" s="115">
        <f>SUM(I40:I41)</f>
        <v>8</v>
      </c>
      <c r="J42" s="115">
        <f>SUM(J40:J41)</f>
        <v>49</v>
      </c>
      <c r="K42" s="115">
        <f>SUM(K40:K41)</f>
        <v>31</v>
      </c>
      <c r="L42" s="115">
        <f>SUM(L40:L41)</f>
        <v>16</v>
      </c>
      <c r="M42" s="103">
        <f t="shared" si="21"/>
        <v>127</v>
      </c>
      <c r="N42" s="104">
        <f t="shared" si="3"/>
        <v>4.0581951576465027E-2</v>
      </c>
      <c r="O42" s="111">
        <f t="shared" ref="O42:T42" si="22">SUM(O40:O41)</f>
        <v>18</v>
      </c>
      <c r="P42" s="111">
        <f t="shared" si="22"/>
        <v>6</v>
      </c>
      <c r="Q42" s="111">
        <f t="shared" si="22"/>
        <v>23</v>
      </c>
      <c r="R42" s="111">
        <f t="shared" si="22"/>
        <v>23</v>
      </c>
      <c r="S42" s="111">
        <f t="shared" si="22"/>
        <v>23</v>
      </c>
      <c r="T42" s="103">
        <f t="shared" si="22"/>
        <v>93</v>
      </c>
      <c r="U42" s="104">
        <f t="shared" si="0"/>
        <v>2.9717492099301159E-2</v>
      </c>
      <c r="V42" s="116">
        <f>SUM(V40:V41)</f>
        <v>24</v>
      </c>
      <c r="W42" s="116">
        <f t="shared" ref="W42:Z42" si="23">SUM(W40:W41)</f>
        <v>3</v>
      </c>
      <c r="X42" s="116">
        <f t="shared" si="23"/>
        <v>19</v>
      </c>
      <c r="Y42" s="116">
        <f>SUM(Y40:Y41)</f>
        <v>12</v>
      </c>
      <c r="Z42" s="116">
        <f t="shared" si="23"/>
        <v>7</v>
      </c>
      <c r="AA42" s="106">
        <f>SUM(AA40:AA41)</f>
        <v>65</v>
      </c>
      <c r="AB42" s="104">
        <f t="shared" si="1"/>
        <v>2.0770290176930918E-2</v>
      </c>
      <c r="AC42" s="107">
        <f>SUM(AC40:AC41)</f>
        <v>12</v>
      </c>
      <c r="AD42" s="107">
        <f>SUM(AD40:AD41)</f>
        <v>24</v>
      </c>
      <c r="AE42" s="107">
        <f>SUM(AE40:AE41)</f>
        <v>450</v>
      </c>
    </row>
    <row r="43" spans="1:32" s="132" customFormat="1" ht="16.2" thickBot="1" x14ac:dyDescent="0.3">
      <c r="A43" s="121" t="s">
        <v>48</v>
      </c>
      <c r="B43" s="138">
        <f>B11+B25+B37+B42</f>
        <v>187691</v>
      </c>
      <c r="C43" s="134">
        <f>C11+C25+C37+C42</f>
        <v>123379</v>
      </c>
      <c r="D43" s="138">
        <f>D11+D25+D37+D42</f>
        <v>196575</v>
      </c>
      <c r="E43" s="134">
        <f>SUM(B43:D43)</f>
        <v>507645</v>
      </c>
      <c r="F43" s="134">
        <f t="shared" ref="F43:M43" si="24">F11+F25+F37+F42</f>
        <v>163865</v>
      </c>
      <c r="G43" s="122">
        <f t="shared" si="24"/>
        <v>884044</v>
      </c>
      <c r="H43" s="122">
        <f t="shared" si="24"/>
        <v>188</v>
      </c>
      <c r="I43" s="122">
        <f t="shared" si="24"/>
        <v>96</v>
      </c>
      <c r="J43" s="122">
        <f t="shared" si="24"/>
        <v>303</v>
      </c>
      <c r="K43" s="122">
        <f>K11+K25+K37+K42</f>
        <v>225</v>
      </c>
      <c r="L43" s="122">
        <f t="shared" si="24"/>
        <v>96</v>
      </c>
      <c r="M43" s="122">
        <f t="shared" si="24"/>
        <v>908</v>
      </c>
      <c r="N43" s="123">
        <f t="shared" si="3"/>
        <v>0.10270981987321898</v>
      </c>
      <c r="O43" s="122">
        <f t="shared" ref="O43:T43" si="25">O11+O25+O37+O42</f>
        <v>256</v>
      </c>
      <c r="P43" s="122">
        <f t="shared" si="25"/>
        <v>139</v>
      </c>
      <c r="Q43" s="122">
        <f t="shared" si="25"/>
        <v>362</v>
      </c>
      <c r="R43" s="122">
        <f>R11+R25+R37+R42</f>
        <v>340</v>
      </c>
      <c r="S43" s="122">
        <f t="shared" si="25"/>
        <v>143</v>
      </c>
      <c r="T43" s="122">
        <f t="shared" si="25"/>
        <v>1240</v>
      </c>
      <c r="U43" s="123">
        <f t="shared" si="0"/>
        <v>0.14026451172113605</v>
      </c>
      <c r="V43" s="122">
        <f t="shared" ref="V43:AA43" si="26">V11+V25+V37+V42</f>
        <v>233</v>
      </c>
      <c r="W43" s="122">
        <f t="shared" si="26"/>
        <v>47</v>
      </c>
      <c r="X43" s="122">
        <f t="shared" si="26"/>
        <v>209</v>
      </c>
      <c r="Y43" s="122">
        <f t="shared" si="26"/>
        <v>94</v>
      </c>
      <c r="Z43" s="122">
        <f t="shared" si="26"/>
        <v>73</v>
      </c>
      <c r="AA43" s="122">
        <f t="shared" si="26"/>
        <v>656</v>
      </c>
      <c r="AB43" s="123">
        <f t="shared" si="1"/>
        <v>7.4204451362149398E-2</v>
      </c>
      <c r="AC43" s="122">
        <f>AC11+AC25+AC37+AC42</f>
        <v>205</v>
      </c>
      <c r="AD43" s="122">
        <f>AD11+AD25+AD37+AD42</f>
        <v>164</v>
      </c>
      <c r="AE43" s="122">
        <f>AE11+AE25+AE37+AE42</f>
        <v>4670</v>
      </c>
    </row>
    <row r="44" spans="1:32" ht="13.8" x14ac:dyDescent="0.25">
      <c r="A44" s="16"/>
      <c r="B44" s="163"/>
      <c r="C44" s="163"/>
      <c r="D44" s="163"/>
      <c r="E44" s="163"/>
      <c r="F44" s="163"/>
      <c r="G44" s="16"/>
      <c r="H44" s="16"/>
      <c r="I44" s="16"/>
      <c r="J44" s="16"/>
      <c r="K44" s="16"/>
      <c r="L44" s="2"/>
      <c r="M44" s="2"/>
      <c r="N44" s="2"/>
    </row>
    <row r="45" spans="1:32" ht="13.2" customHeight="1" x14ac:dyDescent="0.25">
      <c r="B45" s="164"/>
      <c r="C45" s="164"/>
      <c r="D45" s="164"/>
      <c r="E45" s="164"/>
      <c r="F45" s="164"/>
    </row>
    <row r="46" spans="1:32" ht="13.2" customHeight="1" x14ac:dyDescent="0.25">
      <c r="B46" s="164"/>
      <c r="C46" s="164"/>
      <c r="D46" s="164"/>
      <c r="E46" s="164"/>
      <c r="F46" s="164"/>
    </row>
    <row r="47" spans="1:32" ht="13.2" customHeight="1" x14ac:dyDescent="0.25">
      <c r="B47" s="164"/>
      <c r="C47" s="164"/>
      <c r="D47" s="164"/>
      <c r="E47" s="164"/>
      <c r="F47" s="164"/>
    </row>
    <row r="48" spans="1:32" ht="13.2" customHeight="1" x14ac:dyDescent="0.25">
      <c r="B48" s="164"/>
      <c r="C48" s="164"/>
      <c r="D48" s="164"/>
      <c r="E48" s="164"/>
      <c r="F48" s="164"/>
    </row>
    <row r="49" spans="2:6" ht="13.2" customHeight="1" x14ac:dyDescent="0.25">
      <c r="B49" s="164"/>
      <c r="C49" s="164"/>
      <c r="D49" s="164"/>
      <c r="E49" s="164"/>
      <c r="F49" s="164"/>
    </row>
    <row r="50" spans="2:6" ht="13.2" customHeight="1" x14ac:dyDescent="0.25">
      <c r="B50" s="164"/>
      <c r="C50" s="164"/>
      <c r="D50" s="164"/>
      <c r="E50" s="164"/>
      <c r="F50" s="164"/>
    </row>
    <row r="51" spans="2:6" ht="13.2" customHeight="1" x14ac:dyDescent="0.25">
      <c r="B51" s="164"/>
      <c r="C51" s="164"/>
      <c r="D51" s="164"/>
      <c r="E51" s="164"/>
      <c r="F51" s="164"/>
    </row>
    <row r="52" spans="2:6" ht="13.2" customHeight="1" x14ac:dyDescent="0.25">
      <c r="B52" s="164"/>
      <c r="C52" s="164"/>
      <c r="D52" s="164"/>
      <c r="E52" s="164"/>
      <c r="F52" s="164"/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48"/>
  <sheetViews>
    <sheetView zoomScaleNormal="10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AC19" sqref="AC19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6" s="83" customFormat="1" ht="24.6" x14ac:dyDescent="0.4">
      <c r="A1" s="479" t="s">
        <v>99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6" s="83" customFormat="1" ht="18" customHeight="1" thickBot="1" x14ac:dyDescent="0.35"/>
    <row r="3" spans="1:36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105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/>
      <c r="AB3" s="488" t="s">
        <v>42</v>
      </c>
      <c r="AC3" s="95" t="s">
        <v>120</v>
      </c>
      <c r="AD3" s="96" t="s">
        <v>119</v>
      </c>
      <c r="AE3" s="96" t="s">
        <v>106</v>
      </c>
      <c r="AF3" s="18"/>
      <c r="AG3" s="19"/>
      <c r="AH3" s="19"/>
      <c r="AI3" s="19"/>
      <c r="AJ3" s="19"/>
    </row>
    <row r="4" spans="1:36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6" ht="14.4" thickBot="1" x14ac:dyDescent="0.3">
      <c r="A6" s="89" t="s">
        <v>1</v>
      </c>
      <c r="B6" s="97">
        <v>88</v>
      </c>
      <c r="C6" s="97">
        <v>40</v>
      </c>
      <c r="D6" s="97">
        <v>107</v>
      </c>
      <c r="E6" s="137">
        <v>76</v>
      </c>
      <c r="F6" s="97">
        <v>37</v>
      </c>
      <c r="G6" s="98">
        <f>SUM(B6:F6)</f>
        <v>348</v>
      </c>
      <c r="H6" s="97">
        <v>3</v>
      </c>
      <c r="I6" s="97">
        <v>0</v>
      </c>
      <c r="J6" s="97">
        <f>Düsseldorf14!C6</f>
        <v>0</v>
      </c>
      <c r="K6" s="97">
        <f>Kölle14!C6</f>
        <v>0</v>
      </c>
      <c r="L6" s="97">
        <v>0</v>
      </c>
      <c r="M6" s="101">
        <f>SUM(H6:L6)</f>
        <v>3</v>
      </c>
      <c r="N6" s="99">
        <f>M6*100/G6</f>
        <v>0.86206896551724133</v>
      </c>
      <c r="O6" s="97">
        <v>1</v>
      </c>
      <c r="P6" s="97">
        <v>0</v>
      </c>
      <c r="Q6" s="97">
        <v>2</v>
      </c>
      <c r="R6" s="97">
        <v>3</v>
      </c>
      <c r="S6" s="97">
        <v>0</v>
      </c>
      <c r="T6" s="101">
        <f>SUM(O6:S6)</f>
        <v>6</v>
      </c>
      <c r="U6" s="99">
        <f>T6*100/G6</f>
        <v>1.7241379310344827</v>
      </c>
      <c r="V6" s="97">
        <v>0</v>
      </c>
      <c r="W6" s="97">
        <f>Detmold14!E6</f>
        <v>0</v>
      </c>
      <c r="X6" s="97">
        <v>0</v>
      </c>
      <c r="Y6" s="97">
        <v>0</v>
      </c>
      <c r="Z6" s="97">
        <v>1</v>
      </c>
      <c r="AA6" s="97">
        <f>SUM(V6:Z6)</f>
        <v>1</v>
      </c>
      <c r="AB6" s="99">
        <f>AA6*100/G6</f>
        <v>0.28735632183908044</v>
      </c>
      <c r="AC6" s="101">
        <v>3</v>
      </c>
      <c r="AD6" s="101">
        <v>0</v>
      </c>
      <c r="AE6" s="101">
        <v>35</v>
      </c>
    </row>
    <row r="7" spans="1:36" ht="14.4" thickBot="1" x14ac:dyDescent="0.3">
      <c r="A7" s="90" t="s">
        <v>2</v>
      </c>
      <c r="B7" s="97">
        <v>589</v>
      </c>
      <c r="C7" s="97">
        <v>177</v>
      </c>
      <c r="D7" s="97">
        <v>734</v>
      </c>
      <c r="E7" s="137">
        <v>624</v>
      </c>
      <c r="F7" s="97">
        <v>282</v>
      </c>
      <c r="G7" s="98">
        <f>SUM(B7:F7)</f>
        <v>2406</v>
      </c>
      <c r="H7" s="97">
        <v>0</v>
      </c>
      <c r="I7" s="97">
        <v>3</v>
      </c>
      <c r="J7" s="97">
        <v>2</v>
      </c>
      <c r="K7" s="97">
        <v>6</v>
      </c>
      <c r="L7" s="97">
        <v>2</v>
      </c>
      <c r="M7" s="97">
        <f>SUM(H7:L7)</f>
        <v>13</v>
      </c>
      <c r="N7" s="99">
        <f>M7*100/G7</f>
        <v>0.54031587697423111</v>
      </c>
      <c r="O7" s="97">
        <v>6</v>
      </c>
      <c r="P7" s="97">
        <v>1</v>
      </c>
      <c r="Q7" s="97">
        <v>11</v>
      </c>
      <c r="R7" s="97">
        <v>8</v>
      </c>
      <c r="S7" s="97">
        <v>1</v>
      </c>
      <c r="T7" s="97">
        <f>SUM(O7:S7)</f>
        <v>27</v>
      </c>
      <c r="U7" s="99">
        <f>T7*100/G7</f>
        <v>1.1221945137157108</v>
      </c>
      <c r="V7" s="97">
        <v>1</v>
      </c>
      <c r="W7" s="97">
        <f>Detmold14!E7</f>
        <v>0</v>
      </c>
      <c r="X7" s="97">
        <v>0</v>
      </c>
      <c r="Y7" s="97">
        <v>3</v>
      </c>
      <c r="Z7" s="97">
        <v>3</v>
      </c>
      <c r="AA7" s="97">
        <f>SUM(V7:Z7)</f>
        <v>7</v>
      </c>
      <c r="AB7" s="99">
        <f>AA7*100/G7</f>
        <v>0.29093931837073983</v>
      </c>
      <c r="AC7" s="101">
        <v>13</v>
      </c>
      <c r="AD7" s="101">
        <v>7</v>
      </c>
      <c r="AE7" s="101">
        <v>101</v>
      </c>
    </row>
    <row r="8" spans="1:36" ht="14.4" thickBot="1" x14ac:dyDescent="0.3">
      <c r="A8" s="90" t="s">
        <v>14</v>
      </c>
      <c r="B8" s="97">
        <v>57</v>
      </c>
      <c r="C8" s="97">
        <v>32</v>
      </c>
      <c r="D8" s="97">
        <v>88</v>
      </c>
      <c r="E8" s="137">
        <v>77</v>
      </c>
      <c r="F8" s="97">
        <v>35</v>
      </c>
      <c r="G8" s="98">
        <f>SUM(B8:F8)</f>
        <v>289</v>
      </c>
      <c r="H8" s="97">
        <v>0</v>
      </c>
      <c r="I8" s="97">
        <v>0</v>
      </c>
      <c r="J8" s="97">
        <v>0</v>
      </c>
      <c r="K8" s="97">
        <f>Kölle14!C8</f>
        <v>0</v>
      </c>
      <c r="L8" s="97">
        <f>Münster14!C8</f>
        <v>0</v>
      </c>
      <c r="M8" s="101">
        <f>SUM(H8:L8)</f>
        <v>0</v>
      </c>
      <c r="N8" s="99">
        <f>M8*100/G8</f>
        <v>0</v>
      </c>
      <c r="O8" s="97">
        <v>0</v>
      </c>
      <c r="P8" s="97">
        <v>1</v>
      </c>
      <c r="Q8" s="97">
        <v>0</v>
      </c>
      <c r="R8" s="97">
        <v>0</v>
      </c>
      <c r="S8" s="97">
        <v>0</v>
      </c>
      <c r="T8" s="101">
        <f>SUM(O8:S8)</f>
        <v>1</v>
      </c>
      <c r="U8" s="99">
        <f t="shared" ref="U8:U43" si="0">T8*100/G8</f>
        <v>0.34602076124567471</v>
      </c>
      <c r="V8" s="97">
        <v>0</v>
      </c>
      <c r="W8" s="97">
        <f>Detmold14!E8</f>
        <v>0</v>
      </c>
      <c r="X8" s="97">
        <v>1</v>
      </c>
      <c r="Y8" s="97">
        <v>0</v>
      </c>
      <c r="Z8" s="97">
        <v>0</v>
      </c>
      <c r="AA8" s="97">
        <f>SUM(V8:Z8)</f>
        <v>1</v>
      </c>
      <c r="AB8" s="99">
        <f t="shared" ref="AB8:AB43" si="1">AA8*100/G8</f>
        <v>0.34602076124567471</v>
      </c>
      <c r="AC8" s="101">
        <v>0</v>
      </c>
      <c r="AD8" s="101">
        <v>0</v>
      </c>
      <c r="AE8" s="101">
        <v>11</v>
      </c>
    </row>
    <row r="9" spans="1:36" ht="14.4" thickBot="1" x14ac:dyDescent="0.3">
      <c r="A9" s="90" t="s">
        <v>3</v>
      </c>
      <c r="B9" s="97">
        <v>108</v>
      </c>
      <c r="C9" s="97">
        <v>79</v>
      </c>
      <c r="D9" s="97">
        <v>133</v>
      </c>
      <c r="E9" s="137">
        <v>119</v>
      </c>
      <c r="F9" s="97">
        <v>40</v>
      </c>
      <c r="G9" s="98">
        <f>SUM(B9:F9)</f>
        <v>479</v>
      </c>
      <c r="H9" s="97">
        <v>0</v>
      </c>
      <c r="I9" s="97">
        <v>0</v>
      </c>
      <c r="J9" s="97">
        <v>0</v>
      </c>
      <c r="K9" s="97">
        <f>Kölle14!C9</f>
        <v>0</v>
      </c>
      <c r="L9" s="97">
        <f>Münster14!C9</f>
        <v>0</v>
      </c>
      <c r="M9" s="97">
        <f>SUM(H9:L9)</f>
        <v>0</v>
      </c>
      <c r="N9" s="99">
        <f>M9*100/G9</f>
        <v>0</v>
      </c>
      <c r="O9" s="97">
        <v>0</v>
      </c>
      <c r="P9" s="97">
        <v>0</v>
      </c>
      <c r="Q9" s="97">
        <v>0</v>
      </c>
      <c r="R9" s="97">
        <v>1</v>
      </c>
      <c r="S9" s="97">
        <v>2</v>
      </c>
      <c r="T9" s="97">
        <f>SUM(O9:S9)</f>
        <v>3</v>
      </c>
      <c r="U9" s="99">
        <f t="shared" si="0"/>
        <v>0.62630480167014613</v>
      </c>
      <c r="V9" s="97">
        <v>0</v>
      </c>
      <c r="W9" s="97">
        <f>Detmold14!E9</f>
        <v>0</v>
      </c>
      <c r="X9" s="97">
        <v>1</v>
      </c>
      <c r="Y9" s="97">
        <v>0</v>
      </c>
      <c r="Z9" s="97">
        <v>0</v>
      </c>
      <c r="AA9" s="97">
        <f>SUM(V9:Z9)</f>
        <v>1</v>
      </c>
      <c r="AB9" s="99">
        <f t="shared" si="1"/>
        <v>0.20876826722338204</v>
      </c>
      <c r="AC9" s="101">
        <f>Arnsberg14!F9+Detmold14!F9+Düsseldorf14!F9+Kölle14!F9+Münster14!F9</f>
        <v>0</v>
      </c>
      <c r="AD9" s="101">
        <v>0</v>
      </c>
      <c r="AE9" s="101">
        <v>12</v>
      </c>
    </row>
    <row r="10" spans="1:36" ht="23.4" thickBot="1" x14ac:dyDescent="0.3">
      <c r="A10" s="139" t="s">
        <v>23</v>
      </c>
      <c r="B10" s="97">
        <v>607</v>
      </c>
      <c r="C10" s="97">
        <v>210</v>
      </c>
      <c r="D10" s="97">
        <v>777</v>
      </c>
      <c r="E10" s="137">
        <v>790</v>
      </c>
      <c r="F10" s="97">
        <v>319</v>
      </c>
      <c r="G10" s="98">
        <f>SUM(B10:F10)</f>
        <v>2703</v>
      </c>
      <c r="H10" s="97">
        <v>1</v>
      </c>
      <c r="I10" s="97">
        <v>0</v>
      </c>
      <c r="J10" s="97">
        <v>2</v>
      </c>
      <c r="K10" s="97">
        <v>1</v>
      </c>
      <c r="L10" s="97">
        <v>0</v>
      </c>
      <c r="M10" s="97">
        <f>SUM(H10:L10)</f>
        <v>4</v>
      </c>
      <c r="N10" s="99">
        <f>M10*100/G10</f>
        <v>0.14798372179060304</v>
      </c>
      <c r="O10" s="97">
        <v>3</v>
      </c>
      <c r="P10" s="97">
        <v>1</v>
      </c>
      <c r="Q10" s="97">
        <v>3</v>
      </c>
      <c r="R10" s="97">
        <v>7</v>
      </c>
      <c r="S10" s="97">
        <v>0</v>
      </c>
      <c r="T10" s="100">
        <f>SUM(O10:S10)</f>
        <v>14</v>
      </c>
      <c r="U10" s="99">
        <f t="shared" si="0"/>
        <v>0.51794302626711064</v>
      </c>
      <c r="V10" s="97">
        <v>2</v>
      </c>
      <c r="W10" s="97">
        <f>Detmold14!E10</f>
        <v>0</v>
      </c>
      <c r="X10" s="97">
        <v>2</v>
      </c>
      <c r="Y10" s="97">
        <v>0</v>
      </c>
      <c r="Z10" s="97">
        <v>0</v>
      </c>
      <c r="AA10" s="97">
        <f>SUM(V10:Z10)</f>
        <v>4</v>
      </c>
      <c r="AB10" s="99">
        <f t="shared" si="1"/>
        <v>0.14798372179060304</v>
      </c>
      <c r="AC10" s="101">
        <v>8</v>
      </c>
      <c r="AD10" s="101">
        <v>0</v>
      </c>
      <c r="AE10" s="101">
        <v>63</v>
      </c>
    </row>
    <row r="11" spans="1:36" s="132" customFormat="1" ht="14.4" thickBot="1" x14ac:dyDescent="0.3">
      <c r="A11" s="124" t="s">
        <v>21</v>
      </c>
      <c r="B11" s="105">
        <f>SUM(B6:B10)</f>
        <v>1449</v>
      </c>
      <c r="C11" s="105">
        <f>SUM(C6:C10)</f>
        <v>538</v>
      </c>
      <c r="D11" s="105">
        <f>SUM(D6:D10)</f>
        <v>1839</v>
      </c>
      <c r="E11" s="105">
        <f>SUM(E6:E10)</f>
        <v>1686</v>
      </c>
      <c r="F11" s="105">
        <f>SUM(F6:F10)</f>
        <v>713</v>
      </c>
      <c r="G11" s="102">
        <f t="shared" ref="G11:M11" si="2">SUM(G6:G10)</f>
        <v>6225</v>
      </c>
      <c r="H11" s="111">
        <f>SUM(H6:H10)</f>
        <v>4</v>
      </c>
      <c r="I11" s="111">
        <f>SUM(I6:I10)</f>
        <v>3</v>
      </c>
      <c r="J11" s="111">
        <f t="shared" si="2"/>
        <v>4</v>
      </c>
      <c r="K11" s="111">
        <f t="shared" si="2"/>
        <v>7</v>
      </c>
      <c r="L11" s="111">
        <f t="shared" si="2"/>
        <v>2</v>
      </c>
      <c r="M11" s="103">
        <f t="shared" si="2"/>
        <v>20</v>
      </c>
      <c r="N11" s="104">
        <f t="shared" ref="N11:N43" si="3">M11*100/G11</f>
        <v>0.32128514056224899</v>
      </c>
      <c r="O11" s="105">
        <f>SUM(O6:O10)</f>
        <v>10</v>
      </c>
      <c r="P11" s="105">
        <f t="shared" ref="P11:T11" si="4">SUM(P6:P10)</f>
        <v>3</v>
      </c>
      <c r="Q11" s="105">
        <f t="shared" si="4"/>
        <v>16</v>
      </c>
      <c r="R11" s="105">
        <f>SUM(R6:R10)</f>
        <v>19</v>
      </c>
      <c r="S11" s="105">
        <f t="shared" si="4"/>
        <v>3</v>
      </c>
      <c r="T11" s="103">
        <f t="shared" si="4"/>
        <v>51</v>
      </c>
      <c r="U11" s="104">
        <f t="shared" si="0"/>
        <v>0.81927710843373491</v>
      </c>
      <c r="V11" s="105">
        <f t="shared" ref="V11:AA11" si="5">SUM(V6:V10)</f>
        <v>3</v>
      </c>
      <c r="W11" s="105">
        <f t="shared" si="5"/>
        <v>0</v>
      </c>
      <c r="X11" s="105">
        <f t="shared" si="5"/>
        <v>4</v>
      </c>
      <c r="Y11" s="105">
        <f>SUM(Y6:Y10)</f>
        <v>3</v>
      </c>
      <c r="Z11" s="105">
        <f t="shared" si="5"/>
        <v>4</v>
      </c>
      <c r="AA11" s="106">
        <f t="shared" si="5"/>
        <v>14</v>
      </c>
      <c r="AB11" s="104">
        <f t="shared" si="1"/>
        <v>0.22489959839357429</v>
      </c>
      <c r="AC11" s="107">
        <f>SUM(AC6:AC10)</f>
        <v>24</v>
      </c>
      <c r="AD11" s="107">
        <f>SUM(AD6:AD10)</f>
        <v>7</v>
      </c>
      <c r="AE11" s="107">
        <f>SUM(AE6:AE10)</f>
        <v>222</v>
      </c>
    </row>
    <row r="12" spans="1:3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6" ht="14.4" thickBot="1" x14ac:dyDescent="0.3">
      <c r="A14" s="89" t="s">
        <v>4</v>
      </c>
      <c r="B14" s="97">
        <v>17</v>
      </c>
      <c r="C14" s="97">
        <v>4</v>
      </c>
      <c r="D14" s="97">
        <v>28</v>
      </c>
      <c r="E14" s="97">
        <v>34</v>
      </c>
      <c r="F14" s="97">
        <v>6</v>
      </c>
      <c r="G14" s="98">
        <f>SUM(B14:F14)</f>
        <v>89</v>
      </c>
      <c r="H14" s="97">
        <v>0</v>
      </c>
      <c r="I14" s="97">
        <f>Detmold14!C14</f>
        <v>0</v>
      </c>
      <c r="J14" s="97">
        <f>Düsseldorf14!C14</f>
        <v>0</v>
      </c>
      <c r="K14" s="97">
        <f>Kölle14!C14</f>
        <v>0</v>
      </c>
      <c r="L14" s="97">
        <f>Münster14!C14</f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f>Detmold14!D14</f>
        <v>0</v>
      </c>
      <c r="Q14" s="97">
        <v>0</v>
      </c>
      <c r="R14" s="97">
        <v>0</v>
      </c>
      <c r="S14" s="97">
        <v>0</v>
      </c>
      <c r="T14" s="97">
        <f>SUM(O14:S14)</f>
        <v>0</v>
      </c>
      <c r="U14" s="99">
        <f t="shared" si="0"/>
        <v>0</v>
      </c>
      <c r="V14" s="97">
        <f>Arnsberg14!E14</f>
        <v>0</v>
      </c>
      <c r="W14" s="97">
        <f>Detmold14!E14</f>
        <v>0</v>
      </c>
      <c r="X14" s="97">
        <v>0</v>
      </c>
      <c r="Y14" s="97">
        <f>Kölle14!E14</f>
        <v>0</v>
      </c>
      <c r="Z14" s="97">
        <v>0</v>
      </c>
      <c r="AA14" s="101">
        <f>SUM(V14:Z14)</f>
        <v>0</v>
      </c>
      <c r="AB14" s="99">
        <f t="shared" si="1"/>
        <v>0</v>
      </c>
      <c r="AC14" s="101">
        <f>Arnsberg14!F14+Detmold14!F14+Düsseldorf14!F14+Kölle14!F14+Münster14!F14</f>
        <v>0</v>
      </c>
      <c r="AD14" s="101">
        <f>Arnsberg14!G14+Detmold14!G14+Düsseldorf14!G14+Kölle14!G14+Münster14!G14</f>
        <v>0</v>
      </c>
      <c r="AE14" s="101">
        <v>1</v>
      </c>
    </row>
    <row r="15" spans="1:36" ht="14.4" thickBot="1" x14ac:dyDescent="0.3">
      <c r="A15" s="89" t="s">
        <v>5</v>
      </c>
      <c r="B15" s="97">
        <v>204</v>
      </c>
      <c r="C15" s="97">
        <v>64</v>
      </c>
      <c r="D15" s="97">
        <v>315</v>
      </c>
      <c r="E15" s="97">
        <v>328</v>
      </c>
      <c r="F15" s="97">
        <v>115</v>
      </c>
      <c r="G15" s="98">
        <f t="shared" ref="G15:G24" si="6">SUM(B15:F15)</f>
        <v>1026</v>
      </c>
      <c r="H15" s="97">
        <v>0</v>
      </c>
      <c r="I15" s="97">
        <f>Detmold14!C15</f>
        <v>0</v>
      </c>
      <c r="J15" s="97">
        <v>0</v>
      </c>
      <c r="K15" s="97">
        <v>1</v>
      </c>
      <c r="L15" s="97">
        <v>0</v>
      </c>
      <c r="M15" s="97">
        <f>SUM(H15:L15)</f>
        <v>1</v>
      </c>
      <c r="N15" s="99">
        <f t="shared" si="3"/>
        <v>9.7465886939571145E-2</v>
      </c>
      <c r="O15" s="97">
        <v>2</v>
      </c>
      <c r="P15" s="97">
        <v>0</v>
      </c>
      <c r="Q15" s="97">
        <v>1</v>
      </c>
      <c r="R15" s="97">
        <v>5</v>
      </c>
      <c r="S15" s="97">
        <v>3</v>
      </c>
      <c r="T15" s="97">
        <f>SUM(O15:S15)</f>
        <v>11</v>
      </c>
      <c r="U15" s="99">
        <f t="shared" si="0"/>
        <v>1.0721247563352827</v>
      </c>
      <c r="V15" s="97">
        <f>Arnsberg14!E15</f>
        <v>0</v>
      </c>
      <c r="W15" s="97">
        <f>Detmold14!E15</f>
        <v>0</v>
      </c>
      <c r="X15" s="97">
        <v>5</v>
      </c>
      <c r="Y15" s="97">
        <v>0</v>
      </c>
      <c r="Z15" s="97">
        <f>Münster14!E15</f>
        <v>0</v>
      </c>
      <c r="AA15" s="97">
        <f>SUM(V15:Z15)</f>
        <v>5</v>
      </c>
      <c r="AB15" s="99">
        <f t="shared" si="1"/>
        <v>0.48732943469785572</v>
      </c>
      <c r="AC15" s="101">
        <v>0</v>
      </c>
      <c r="AD15" s="101">
        <v>0</v>
      </c>
      <c r="AE15" s="101">
        <v>40</v>
      </c>
    </row>
    <row r="16" spans="1:36" ht="14.4" thickBot="1" x14ac:dyDescent="0.3">
      <c r="A16" s="89" t="s">
        <v>6</v>
      </c>
      <c r="B16" s="109">
        <v>40</v>
      </c>
      <c r="C16" s="97">
        <v>22</v>
      </c>
      <c r="D16" s="97">
        <v>67</v>
      </c>
      <c r="E16" s="97">
        <v>54</v>
      </c>
      <c r="F16" s="97">
        <v>27</v>
      </c>
      <c r="G16" s="98">
        <f t="shared" si="6"/>
        <v>210</v>
      </c>
      <c r="H16" s="97">
        <v>0</v>
      </c>
      <c r="I16" s="97">
        <f>Detmold14!C16</f>
        <v>0</v>
      </c>
      <c r="J16" s="97">
        <f>Düsseldorf14!C16</f>
        <v>0</v>
      </c>
      <c r="K16" s="97">
        <v>1</v>
      </c>
      <c r="L16" s="97">
        <f>Münster14!C16</f>
        <v>0</v>
      </c>
      <c r="M16" s="101">
        <f t="shared" ref="M16:M20" si="7">SUM(H16:L16)</f>
        <v>1</v>
      </c>
      <c r="N16" s="99">
        <f t="shared" si="3"/>
        <v>0.47619047619047616</v>
      </c>
      <c r="O16" s="97">
        <v>1</v>
      </c>
      <c r="P16" s="97">
        <f>Detmold14!D16</f>
        <v>0</v>
      </c>
      <c r="Q16" s="97">
        <v>0</v>
      </c>
      <c r="R16" s="97">
        <v>0</v>
      </c>
      <c r="S16" s="97">
        <f>Münster14!D16</f>
        <v>0</v>
      </c>
      <c r="T16" s="97">
        <f>SUM(O16:S16)</f>
        <v>1</v>
      </c>
      <c r="U16" s="99">
        <f t="shared" si="0"/>
        <v>0.47619047619047616</v>
      </c>
      <c r="V16" s="97">
        <f>Arnsberg14!E16</f>
        <v>0</v>
      </c>
      <c r="W16" s="97">
        <f>Detmold14!E16</f>
        <v>0</v>
      </c>
      <c r="X16" s="97">
        <v>0</v>
      </c>
      <c r="Y16" s="97">
        <v>0</v>
      </c>
      <c r="Z16" s="97">
        <v>1</v>
      </c>
      <c r="AA16" s="97">
        <f>SUM(V16:Z16)</f>
        <v>1</v>
      </c>
      <c r="AB16" s="99">
        <f t="shared" si="1"/>
        <v>0.47619047619047616</v>
      </c>
      <c r="AC16" s="101">
        <f>Arnsberg14!F16+Detmold14!F16+Düsseldorf14!F16+Kölle14!F16+Münster14!F16</f>
        <v>0</v>
      </c>
      <c r="AD16" s="101">
        <f>Arnsberg14!G16+Detmold14!G16+Düsseldorf14!G16+Kölle14!G16+Münster14!G16</f>
        <v>0</v>
      </c>
      <c r="AE16" s="101">
        <v>2</v>
      </c>
    </row>
    <row r="17" spans="1:34" ht="14.4" thickBot="1" x14ac:dyDescent="0.3">
      <c r="A17" s="89" t="s">
        <v>7</v>
      </c>
      <c r="B17" s="97">
        <v>28</v>
      </c>
      <c r="C17" s="97">
        <v>6</v>
      </c>
      <c r="D17" s="97">
        <v>50</v>
      </c>
      <c r="E17" s="97">
        <v>21</v>
      </c>
      <c r="F17" s="97">
        <v>23</v>
      </c>
      <c r="G17" s="98">
        <f t="shared" si="6"/>
        <v>128</v>
      </c>
      <c r="H17" s="97">
        <v>0</v>
      </c>
      <c r="I17" s="97">
        <f>Detmold14!C17</f>
        <v>0</v>
      </c>
      <c r="J17" s="97">
        <v>0</v>
      </c>
      <c r="K17" s="97">
        <v>0</v>
      </c>
      <c r="L17" s="97">
        <f>Münster14!C17</f>
        <v>0</v>
      </c>
      <c r="M17" s="97">
        <f>SUM(H17:L17)</f>
        <v>0</v>
      </c>
      <c r="N17" s="99">
        <f t="shared" si="3"/>
        <v>0</v>
      </c>
      <c r="O17" s="97">
        <v>0</v>
      </c>
      <c r="P17" s="97">
        <f>Detmold14!D17</f>
        <v>0</v>
      </c>
      <c r="Q17" s="97">
        <v>0</v>
      </c>
      <c r="R17" s="97">
        <v>0</v>
      </c>
      <c r="S17" s="97">
        <f>Münster14!D17</f>
        <v>0</v>
      </c>
      <c r="T17" s="97">
        <f>SUM(O17:S17)</f>
        <v>0</v>
      </c>
      <c r="U17" s="99">
        <f t="shared" si="0"/>
        <v>0</v>
      </c>
      <c r="V17" s="97">
        <f>Arnsberg14!E17</f>
        <v>0</v>
      </c>
      <c r="W17" s="97">
        <f>Detmold14!E17</f>
        <v>0</v>
      </c>
      <c r="X17" s="97">
        <v>1</v>
      </c>
      <c r="Y17" s="97">
        <f>Kölle14!E17</f>
        <v>0</v>
      </c>
      <c r="Z17" s="97">
        <f>Münster14!E17</f>
        <v>0</v>
      </c>
      <c r="AA17" s="101">
        <f t="shared" ref="AA17:AA20" si="8">SUM(V17:Z17)</f>
        <v>1</v>
      </c>
      <c r="AB17" s="99">
        <f t="shared" si="1"/>
        <v>0.78125</v>
      </c>
      <c r="AC17" s="101">
        <f>Arnsberg14!F17+Detmold14!F17+Düsseldorf14!F17+Kölle14!F17+Münster14!F17</f>
        <v>0</v>
      </c>
      <c r="AD17" s="101">
        <f>Arnsberg14!G17+Detmold14!G17+Düsseldorf14!G17+Kölle14!G17+Münster14!G17</f>
        <v>0</v>
      </c>
      <c r="AE17" s="101">
        <v>4</v>
      </c>
    </row>
    <row r="18" spans="1:34" ht="14.4" thickBot="1" x14ac:dyDescent="0.3">
      <c r="A18" s="89" t="s">
        <v>8</v>
      </c>
      <c r="B18" s="97">
        <v>7</v>
      </c>
      <c r="C18" s="97">
        <v>2</v>
      </c>
      <c r="D18" s="97">
        <v>7</v>
      </c>
      <c r="E18" s="97">
        <v>5</v>
      </c>
      <c r="F18" s="97">
        <v>3</v>
      </c>
      <c r="G18" s="98">
        <f t="shared" si="6"/>
        <v>24</v>
      </c>
      <c r="H18" s="97">
        <v>0</v>
      </c>
      <c r="I18" s="97">
        <f>Detmold14!C18</f>
        <v>0</v>
      </c>
      <c r="J18" s="97">
        <f>Düsseldorf14!C18</f>
        <v>0</v>
      </c>
      <c r="K18" s="97">
        <v>2</v>
      </c>
      <c r="L18" s="97">
        <f>Münster14!C18</f>
        <v>0</v>
      </c>
      <c r="M18" s="97">
        <f>SUM(H18:L18)</f>
        <v>2</v>
      </c>
      <c r="N18" s="99">
        <f t="shared" si="3"/>
        <v>8.3333333333333339</v>
      </c>
      <c r="O18" s="97">
        <v>0</v>
      </c>
      <c r="P18" s="97">
        <f>Detmold14!D18</f>
        <v>0</v>
      </c>
      <c r="Q18" s="97">
        <v>0</v>
      </c>
      <c r="R18" s="97">
        <v>0</v>
      </c>
      <c r="S18" s="97">
        <f>Münster14!D18</f>
        <v>0</v>
      </c>
      <c r="T18" s="101">
        <f t="shared" ref="T18:T20" si="9">SUM(O18:S18)</f>
        <v>0</v>
      </c>
      <c r="U18" s="99">
        <f t="shared" si="0"/>
        <v>0</v>
      </c>
      <c r="V18" s="97">
        <v>0</v>
      </c>
      <c r="W18" s="97">
        <f>Detmold14!E18</f>
        <v>0</v>
      </c>
      <c r="X18" s="97">
        <v>1</v>
      </c>
      <c r="Y18" s="97">
        <f>Kölle14!E18</f>
        <v>0</v>
      </c>
      <c r="Z18" s="97">
        <f>Münster14!E18</f>
        <v>0</v>
      </c>
      <c r="AA18" s="97">
        <f>SUM(V18:Z18)</f>
        <v>1</v>
      </c>
      <c r="AB18" s="99">
        <f t="shared" si="1"/>
        <v>4.166666666666667</v>
      </c>
      <c r="AC18" s="101">
        <f>Arnsberg14!F18+Detmold14!F18+Düsseldorf14!F18+Kölle14!F18+Münster14!F18</f>
        <v>0</v>
      </c>
      <c r="AD18" s="101">
        <f>Arnsberg14!G18+Detmold14!G18+Düsseldorf14!G18+Kölle14!G18+Münster14!G18</f>
        <v>0</v>
      </c>
      <c r="AE18" s="101">
        <v>0</v>
      </c>
    </row>
    <row r="19" spans="1:34" ht="14.4" thickBot="1" x14ac:dyDescent="0.3">
      <c r="A19" s="89" t="s">
        <v>9</v>
      </c>
      <c r="B19" s="97">
        <v>12</v>
      </c>
      <c r="C19" s="97">
        <v>6</v>
      </c>
      <c r="D19" s="97">
        <v>22</v>
      </c>
      <c r="E19" s="97">
        <v>12</v>
      </c>
      <c r="F19" s="97">
        <v>4</v>
      </c>
      <c r="G19" s="98">
        <f t="shared" si="6"/>
        <v>56</v>
      </c>
      <c r="H19" s="97">
        <v>0</v>
      </c>
      <c r="I19" s="97">
        <f>Detmold14!C19</f>
        <v>0</v>
      </c>
      <c r="J19" s="97">
        <v>0</v>
      </c>
      <c r="K19" s="97">
        <v>0</v>
      </c>
      <c r="L19" s="97">
        <f>Münster14!C19</f>
        <v>0</v>
      </c>
      <c r="M19" s="101">
        <f t="shared" si="7"/>
        <v>0</v>
      </c>
      <c r="N19" s="99">
        <f t="shared" si="3"/>
        <v>0</v>
      </c>
      <c r="O19" s="97">
        <v>0</v>
      </c>
      <c r="P19" s="97">
        <f>Detmold14!D19</f>
        <v>0</v>
      </c>
      <c r="Q19" s="97">
        <v>0</v>
      </c>
      <c r="R19" s="97">
        <v>0</v>
      </c>
      <c r="S19" s="97">
        <f>Münster14!D19</f>
        <v>0</v>
      </c>
      <c r="T19" s="101">
        <f t="shared" si="9"/>
        <v>0</v>
      </c>
      <c r="U19" s="99">
        <f t="shared" si="0"/>
        <v>0</v>
      </c>
      <c r="V19" s="97">
        <f>Arnsberg14!E19</f>
        <v>0</v>
      </c>
      <c r="W19" s="97">
        <f>Detmold14!E19</f>
        <v>0</v>
      </c>
      <c r="X19" s="97">
        <f>Düsseldorf14!E19</f>
        <v>0</v>
      </c>
      <c r="Y19" s="97">
        <f>Kölle14!E19</f>
        <v>0</v>
      </c>
      <c r="Z19" s="97">
        <f>Münster14!E19</f>
        <v>0</v>
      </c>
      <c r="AA19" s="101">
        <f t="shared" si="8"/>
        <v>0</v>
      </c>
      <c r="AB19" s="99">
        <f t="shared" si="1"/>
        <v>0</v>
      </c>
      <c r="AC19" s="101">
        <f>Arnsberg14!F19+Detmold14!F19+Düsseldorf14!F19+Kölle14!F19+Münster14!F19</f>
        <v>0</v>
      </c>
      <c r="AD19" s="101">
        <f>Arnsberg14!G19+Detmold14!G19+Düsseldorf14!G19+Kölle14!G19+Münster14!G19</f>
        <v>0</v>
      </c>
      <c r="AE19" s="101">
        <v>0</v>
      </c>
    </row>
    <row r="20" spans="1:34" ht="14.4" thickBot="1" x14ac:dyDescent="0.3">
      <c r="A20" s="89" t="s">
        <v>10</v>
      </c>
      <c r="B20" s="97">
        <v>7</v>
      </c>
      <c r="C20" s="97">
        <v>3</v>
      </c>
      <c r="D20" s="97">
        <v>6</v>
      </c>
      <c r="E20" s="97">
        <v>19</v>
      </c>
      <c r="F20" s="97">
        <v>4</v>
      </c>
      <c r="G20" s="98">
        <f t="shared" si="6"/>
        <v>39</v>
      </c>
      <c r="H20" s="97">
        <v>0</v>
      </c>
      <c r="I20" s="97">
        <f>Detmold14!C20</f>
        <v>0</v>
      </c>
      <c r="J20" s="97">
        <f>Düsseldorf14!C20</f>
        <v>0</v>
      </c>
      <c r="K20" s="97">
        <v>0</v>
      </c>
      <c r="L20" s="97">
        <f>Münster14!C20</f>
        <v>0</v>
      </c>
      <c r="M20" s="101">
        <f t="shared" si="7"/>
        <v>0</v>
      </c>
      <c r="N20" s="99">
        <f t="shared" si="3"/>
        <v>0</v>
      </c>
      <c r="O20" s="97">
        <v>0</v>
      </c>
      <c r="P20" s="97">
        <f>Detmold14!D20</f>
        <v>0</v>
      </c>
      <c r="Q20" s="97">
        <v>0</v>
      </c>
      <c r="R20" s="97">
        <v>0</v>
      </c>
      <c r="S20" s="97">
        <f>Münster14!D20</f>
        <v>0</v>
      </c>
      <c r="T20" s="101">
        <f t="shared" si="9"/>
        <v>0</v>
      </c>
      <c r="U20" s="99">
        <f t="shared" si="0"/>
        <v>0</v>
      </c>
      <c r="V20" s="97">
        <f>Arnsberg14!E20</f>
        <v>0</v>
      </c>
      <c r="W20" s="97">
        <f>Detmold14!E20</f>
        <v>0</v>
      </c>
      <c r="X20" s="97">
        <f>Düsseldorf14!E20</f>
        <v>0</v>
      </c>
      <c r="Y20" s="97">
        <f>Kölle14!E20</f>
        <v>0</v>
      </c>
      <c r="Z20" s="97">
        <f>Münster14!E20</f>
        <v>0</v>
      </c>
      <c r="AA20" s="101">
        <f t="shared" si="8"/>
        <v>0</v>
      </c>
      <c r="AB20" s="99">
        <f t="shared" si="1"/>
        <v>0</v>
      </c>
      <c r="AC20" s="101">
        <f>Arnsberg14!F20+Detmold14!F20+Düsseldorf14!F20+Kölle14!F20+Münster14!F20</f>
        <v>0</v>
      </c>
      <c r="AD20" s="101">
        <f>Arnsberg14!G20+Detmold14!G20+Düsseldorf14!G20+Kölle14!G20+Münster14!G20</f>
        <v>0</v>
      </c>
      <c r="AE20" s="101">
        <v>1</v>
      </c>
    </row>
    <row r="21" spans="1:34" ht="14.4" thickBot="1" x14ac:dyDescent="0.3">
      <c r="A21" s="89" t="s">
        <v>11</v>
      </c>
      <c r="B21" s="97">
        <v>103</v>
      </c>
      <c r="C21" s="97">
        <v>21</v>
      </c>
      <c r="D21" s="97">
        <v>117</v>
      </c>
      <c r="E21" s="97">
        <v>125</v>
      </c>
      <c r="F21" s="97">
        <v>49</v>
      </c>
      <c r="G21" s="98">
        <f t="shared" si="6"/>
        <v>415</v>
      </c>
      <c r="H21" s="97">
        <v>0</v>
      </c>
      <c r="I21" s="97">
        <f>Detmold14!C21</f>
        <v>0</v>
      </c>
      <c r="J21" s="97">
        <v>0</v>
      </c>
      <c r="K21" s="97">
        <v>0</v>
      </c>
      <c r="L21" s="97">
        <v>0</v>
      </c>
      <c r="M21" s="97">
        <f>SUM(H21:L21)</f>
        <v>0</v>
      </c>
      <c r="N21" s="99">
        <f t="shared" si="3"/>
        <v>0</v>
      </c>
      <c r="O21" s="97">
        <v>1</v>
      </c>
      <c r="P21" s="97">
        <v>0</v>
      </c>
      <c r="Q21" s="97">
        <v>3</v>
      </c>
      <c r="R21" s="97">
        <v>5</v>
      </c>
      <c r="S21" s="97">
        <v>1</v>
      </c>
      <c r="T21" s="97">
        <f>SUM(O21:S21)</f>
        <v>10</v>
      </c>
      <c r="U21" s="99">
        <f t="shared" si="0"/>
        <v>2.4096385542168677</v>
      </c>
      <c r="V21" s="97">
        <f>Arnsberg14!E21</f>
        <v>0</v>
      </c>
      <c r="W21" s="97">
        <f>Detmold14!E21</f>
        <v>0</v>
      </c>
      <c r="X21" s="97">
        <v>0</v>
      </c>
      <c r="Y21" s="97">
        <v>1</v>
      </c>
      <c r="Z21" s="97">
        <v>0</v>
      </c>
      <c r="AA21" s="97">
        <f>SUM(V21:Z21)</f>
        <v>1</v>
      </c>
      <c r="AB21" s="99">
        <f t="shared" si="1"/>
        <v>0.24096385542168675</v>
      </c>
      <c r="AC21" s="101">
        <f>Arnsberg14!F21+Detmold14!F21+Düsseldorf14!F21+Kölle14!F21+Münster14!F21</f>
        <v>0</v>
      </c>
      <c r="AD21" s="101">
        <v>0</v>
      </c>
      <c r="AE21" s="101">
        <v>16</v>
      </c>
    </row>
    <row r="22" spans="1:34" ht="14.4" thickBot="1" x14ac:dyDescent="0.3">
      <c r="A22" s="89" t="s">
        <v>12</v>
      </c>
      <c r="B22" s="97">
        <v>925</v>
      </c>
      <c r="C22" s="97">
        <v>425</v>
      </c>
      <c r="D22" s="97">
        <v>1575</v>
      </c>
      <c r="E22" s="97">
        <v>1211</v>
      </c>
      <c r="F22" s="97">
        <v>629</v>
      </c>
      <c r="G22" s="98">
        <f t="shared" si="6"/>
        <v>4765</v>
      </c>
      <c r="H22" s="97">
        <v>1</v>
      </c>
      <c r="I22" s="97">
        <v>1</v>
      </c>
      <c r="J22" s="97">
        <v>5</v>
      </c>
      <c r="K22" s="97">
        <v>7</v>
      </c>
      <c r="L22" s="97">
        <v>3</v>
      </c>
      <c r="M22" s="97">
        <f>SUM(H22:L22)</f>
        <v>17</v>
      </c>
      <c r="N22" s="99">
        <f t="shared" si="3"/>
        <v>0.35676810073452259</v>
      </c>
      <c r="O22" s="97">
        <v>6</v>
      </c>
      <c r="P22" s="97">
        <v>1</v>
      </c>
      <c r="Q22" s="97">
        <v>7</v>
      </c>
      <c r="R22" s="97">
        <v>13</v>
      </c>
      <c r="S22" s="97">
        <v>2</v>
      </c>
      <c r="T22" s="97">
        <f>SUM(O22:S22)</f>
        <v>29</v>
      </c>
      <c r="U22" s="99">
        <f t="shared" si="0"/>
        <v>0.60860440713536201</v>
      </c>
      <c r="V22" s="97">
        <v>9</v>
      </c>
      <c r="W22" s="97">
        <v>1</v>
      </c>
      <c r="X22" s="97">
        <v>6</v>
      </c>
      <c r="Y22" s="97">
        <v>0</v>
      </c>
      <c r="Z22" s="97">
        <v>2</v>
      </c>
      <c r="AA22" s="97">
        <f>SUM(V22:Z22)</f>
        <v>18</v>
      </c>
      <c r="AB22" s="99">
        <f t="shared" si="1"/>
        <v>0.3777544596012592</v>
      </c>
      <c r="AC22" s="101">
        <v>3</v>
      </c>
      <c r="AD22" s="101">
        <v>0</v>
      </c>
      <c r="AE22" s="101">
        <v>120</v>
      </c>
    </row>
    <row r="23" spans="1:34" ht="14.4" thickBot="1" x14ac:dyDescent="0.3">
      <c r="A23" s="89" t="s">
        <v>13</v>
      </c>
      <c r="B23" s="97">
        <v>4</v>
      </c>
      <c r="C23" s="97">
        <v>7</v>
      </c>
      <c r="D23" s="97">
        <v>7</v>
      </c>
      <c r="E23" s="97">
        <v>8</v>
      </c>
      <c r="F23" s="97">
        <v>3</v>
      </c>
      <c r="G23" s="98">
        <f t="shared" si="6"/>
        <v>29</v>
      </c>
      <c r="H23" s="97">
        <v>0</v>
      </c>
      <c r="I23" s="97">
        <f>Detmold14!C23</f>
        <v>0</v>
      </c>
      <c r="J23" s="97">
        <f>Düsseldorf14!C23</f>
        <v>0</v>
      </c>
      <c r="K23" s="97">
        <f>Kölle14!C23</f>
        <v>0</v>
      </c>
      <c r="L23" s="97">
        <f>Münster14!C23</f>
        <v>0</v>
      </c>
      <c r="M23" s="97">
        <f>SUM(H23:L23)</f>
        <v>0</v>
      </c>
      <c r="N23" s="99">
        <f t="shared" si="3"/>
        <v>0</v>
      </c>
      <c r="O23" s="97">
        <v>0</v>
      </c>
      <c r="P23" s="97">
        <f>Detmold14!D23</f>
        <v>0</v>
      </c>
      <c r="Q23" s="97">
        <v>1</v>
      </c>
      <c r="R23" s="97">
        <v>0</v>
      </c>
      <c r="S23" s="97">
        <f>Münster14!D23</f>
        <v>0</v>
      </c>
      <c r="T23" s="97">
        <f>SUM(O23:S23)</f>
        <v>1</v>
      </c>
      <c r="U23" s="99">
        <f t="shared" si="0"/>
        <v>3.4482758620689653</v>
      </c>
      <c r="V23" s="97">
        <f>Arnsberg14!E23</f>
        <v>0</v>
      </c>
      <c r="W23" s="97">
        <f>Detmold14!E23</f>
        <v>0</v>
      </c>
      <c r="X23" s="97">
        <v>0</v>
      </c>
      <c r="Y23" s="97">
        <f>Kölle14!E23</f>
        <v>0</v>
      </c>
      <c r="Z23" s="97">
        <f>Münster14!E23</f>
        <v>0</v>
      </c>
      <c r="AA23" s="97">
        <f>SUM(V23:Z23)</f>
        <v>0</v>
      </c>
      <c r="AB23" s="99">
        <f t="shared" si="1"/>
        <v>0</v>
      </c>
      <c r="AC23" s="101">
        <v>0</v>
      </c>
      <c r="AD23" s="101">
        <f>Arnsberg14!G23+Detmold14!G23+Düsseldorf14!G23+Kölle14!G23+Münster14!G23</f>
        <v>0</v>
      </c>
      <c r="AE23" s="101">
        <v>0</v>
      </c>
    </row>
    <row r="24" spans="1:34" ht="23.4" thickBot="1" x14ac:dyDescent="0.3">
      <c r="A24" s="139" t="s">
        <v>23</v>
      </c>
      <c r="B24" s="110">
        <v>435</v>
      </c>
      <c r="C24" s="110">
        <v>191</v>
      </c>
      <c r="D24" s="97">
        <v>586</v>
      </c>
      <c r="E24" s="110">
        <v>771</v>
      </c>
      <c r="F24" s="97">
        <v>241</v>
      </c>
      <c r="G24" s="98">
        <f t="shared" si="6"/>
        <v>2224</v>
      </c>
      <c r="H24" s="110">
        <v>2</v>
      </c>
      <c r="I24" s="97">
        <v>1</v>
      </c>
      <c r="J24" s="97">
        <v>4</v>
      </c>
      <c r="K24" s="97">
        <v>2</v>
      </c>
      <c r="L24" s="97">
        <v>0</v>
      </c>
      <c r="M24" s="97">
        <f>SUM(H24:L24)</f>
        <v>9</v>
      </c>
      <c r="N24" s="99">
        <f t="shared" si="3"/>
        <v>0.40467625899280574</v>
      </c>
      <c r="O24" s="110">
        <v>1</v>
      </c>
      <c r="P24" s="97">
        <v>1</v>
      </c>
      <c r="Q24" s="110">
        <v>9</v>
      </c>
      <c r="R24" s="110">
        <v>4</v>
      </c>
      <c r="S24" s="97">
        <v>1</v>
      </c>
      <c r="T24" s="97">
        <f>SUM(O24:S24)</f>
        <v>16</v>
      </c>
      <c r="U24" s="99">
        <f t="shared" si="0"/>
        <v>0.71942446043165464</v>
      </c>
      <c r="V24" s="110">
        <v>1</v>
      </c>
      <c r="W24" s="110">
        <v>0</v>
      </c>
      <c r="X24" s="110">
        <v>6</v>
      </c>
      <c r="Y24" s="110">
        <v>1</v>
      </c>
      <c r="Z24" s="110">
        <f>Münster14!E24</f>
        <v>0</v>
      </c>
      <c r="AA24" s="97">
        <f>SUM(V24:Z24)</f>
        <v>8</v>
      </c>
      <c r="AB24" s="99">
        <f t="shared" si="1"/>
        <v>0.35971223021582732</v>
      </c>
      <c r="AC24" s="101">
        <v>2</v>
      </c>
      <c r="AD24" s="101">
        <v>1</v>
      </c>
      <c r="AE24" s="101">
        <v>82</v>
      </c>
    </row>
    <row r="25" spans="1:34" s="132" customFormat="1" ht="14.4" thickBot="1" x14ac:dyDescent="0.3">
      <c r="A25" s="128" t="s">
        <v>22</v>
      </c>
      <c r="B25" s="111">
        <f t="shared" ref="B25:I25" si="10">SUM(B14:B24)</f>
        <v>1782</v>
      </c>
      <c r="C25" s="111">
        <f t="shared" si="10"/>
        <v>751</v>
      </c>
      <c r="D25" s="111">
        <f t="shared" si="10"/>
        <v>2780</v>
      </c>
      <c r="E25" s="111">
        <f t="shared" si="10"/>
        <v>2588</v>
      </c>
      <c r="F25" s="111">
        <f t="shared" si="10"/>
        <v>1104</v>
      </c>
      <c r="G25" s="102">
        <f t="shared" si="10"/>
        <v>9005</v>
      </c>
      <c r="H25" s="111">
        <f t="shared" si="10"/>
        <v>3</v>
      </c>
      <c r="I25" s="111">
        <f t="shared" si="10"/>
        <v>2</v>
      </c>
      <c r="J25" s="111">
        <f>SUM(J14:J24)</f>
        <v>9</v>
      </c>
      <c r="K25" s="111">
        <f t="shared" ref="K25:L25" si="11">SUM(K14:K24)</f>
        <v>13</v>
      </c>
      <c r="L25" s="111">
        <f t="shared" si="11"/>
        <v>3</v>
      </c>
      <c r="M25" s="103">
        <f>SUM(M14:M24)</f>
        <v>30</v>
      </c>
      <c r="N25" s="104">
        <f t="shared" si="3"/>
        <v>0.33314825097168238</v>
      </c>
      <c r="O25" s="111">
        <f t="shared" ref="O25:T25" si="12">SUM(O14:O24)</f>
        <v>11</v>
      </c>
      <c r="P25" s="111">
        <f t="shared" si="12"/>
        <v>2</v>
      </c>
      <c r="Q25" s="111">
        <f t="shared" si="12"/>
        <v>21</v>
      </c>
      <c r="R25" s="111">
        <f>SUM(R14:R24)</f>
        <v>27</v>
      </c>
      <c r="S25" s="111">
        <f t="shared" si="12"/>
        <v>7</v>
      </c>
      <c r="T25" s="103">
        <f t="shared" si="12"/>
        <v>68</v>
      </c>
      <c r="U25" s="104">
        <f t="shared" si="0"/>
        <v>0.75513603553581343</v>
      </c>
      <c r="V25" s="111">
        <f t="shared" ref="V25:AA25" si="13">SUM(V14:V24)</f>
        <v>10</v>
      </c>
      <c r="W25" s="111">
        <f t="shared" si="13"/>
        <v>1</v>
      </c>
      <c r="X25" s="111">
        <f t="shared" si="13"/>
        <v>19</v>
      </c>
      <c r="Y25" s="111">
        <f t="shared" si="13"/>
        <v>2</v>
      </c>
      <c r="Z25" s="111">
        <f t="shared" si="13"/>
        <v>3</v>
      </c>
      <c r="AA25" s="103">
        <f t="shared" si="13"/>
        <v>35</v>
      </c>
      <c r="AB25" s="104">
        <f t="shared" si="1"/>
        <v>0.38867295946696279</v>
      </c>
      <c r="AC25" s="107">
        <f>SUM(AC14:AC24)</f>
        <v>5</v>
      </c>
      <c r="AD25" s="107">
        <f>SUM(AD14:AD24)</f>
        <v>1</v>
      </c>
      <c r="AE25" s="107">
        <f>SUM(AE14:AE24)</f>
        <v>266</v>
      </c>
    </row>
    <row r="26" spans="1:34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4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4" ht="14.4" thickBot="1" x14ac:dyDescent="0.3">
      <c r="A28" s="89" t="s">
        <v>15</v>
      </c>
      <c r="B28" s="97">
        <v>3056</v>
      </c>
      <c r="C28" s="97">
        <v>1753</v>
      </c>
      <c r="D28" s="97">
        <v>3508</v>
      </c>
      <c r="E28" s="97">
        <v>2866</v>
      </c>
      <c r="F28" s="97">
        <v>2904</v>
      </c>
      <c r="G28" s="98">
        <f>SUM(B28:F28)</f>
        <v>14087</v>
      </c>
      <c r="H28" s="97">
        <v>2</v>
      </c>
      <c r="I28" s="97">
        <v>0</v>
      </c>
      <c r="J28" s="97">
        <v>0</v>
      </c>
      <c r="K28" s="97">
        <v>1</v>
      </c>
      <c r="L28" s="97">
        <v>1</v>
      </c>
      <c r="M28" s="97">
        <f t="shared" ref="M28:M36" si="14">SUM(H28:L28)</f>
        <v>4</v>
      </c>
      <c r="N28" s="99">
        <f t="shared" si="3"/>
        <v>2.8394974089586144E-2</v>
      </c>
      <c r="O28" s="97">
        <v>6</v>
      </c>
      <c r="P28" s="97">
        <v>4</v>
      </c>
      <c r="Q28" s="97">
        <v>6</v>
      </c>
      <c r="R28" s="97">
        <v>4</v>
      </c>
      <c r="S28" s="97">
        <v>3</v>
      </c>
      <c r="T28" s="97">
        <f>SUM(O28:S28)</f>
        <v>23</v>
      </c>
      <c r="U28" s="99">
        <f t="shared" si="0"/>
        <v>0.16327110101512032</v>
      </c>
      <c r="V28" s="97">
        <v>0</v>
      </c>
      <c r="W28" s="97">
        <v>3</v>
      </c>
      <c r="X28" s="97">
        <v>2</v>
      </c>
      <c r="Y28" s="97">
        <v>0</v>
      </c>
      <c r="Z28" s="97">
        <v>0</v>
      </c>
      <c r="AA28" s="97">
        <f t="shared" ref="AA28:AA36" si="15">SUM(V28:Z28)</f>
        <v>5</v>
      </c>
      <c r="AB28" s="99">
        <f t="shared" si="1"/>
        <v>3.5493717611982681E-2</v>
      </c>
      <c r="AC28" s="101">
        <v>5</v>
      </c>
      <c r="AD28" s="101">
        <v>1</v>
      </c>
      <c r="AE28" s="101">
        <v>85</v>
      </c>
    </row>
    <row r="29" spans="1:34" ht="14.4" thickBot="1" x14ac:dyDescent="0.3">
      <c r="A29" s="89" t="s">
        <v>16</v>
      </c>
      <c r="B29" s="97">
        <v>1201</v>
      </c>
      <c r="C29" s="97">
        <v>726</v>
      </c>
      <c r="D29" s="97">
        <v>1678</v>
      </c>
      <c r="E29" s="97">
        <v>1247</v>
      </c>
      <c r="F29" s="97">
        <v>961</v>
      </c>
      <c r="G29" s="98">
        <f t="shared" ref="G29:G36" si="16">SUM(B29:F29)</f>
        <v>5813</v>
      </c>
      <c r="H29" s="97">
        <v>3</v>
      </c>
      <c r="I29" s="97">
        <v>2</v>
      </c>
      <c r="J29" s="97">
        <v>4</v>
      </c>
      <c r="K29" s="97">
        <v>3</v>
      </c>
      <c r="L29" s="97">
        <v>1</v>
      </c>
      <c r="M29" s="97">
        <f t="shared" si="14"/>
        <v>13</v>
      </c>
      <c r="N29" s="99">
        <f t="shared" si="3"/>
        <v>0.22363667641493204</v>
      </c>
      <c r="O29" s="97">
        <v>3</v>
      </c>
      <c r="P29" s="97">
        <v>4</v>
      </c>
      <c r="Q29" s="97">
        <v>5</v>
      </c>
      <c r="R29" s="97">
        <v>5</v>
      </c>
      <c r="S29" s="97">
        <v>0</v>
      </c>
      <c r="T29" s="97">
        <f t="shared" ref="T29:T36" si="17">SUM(O29:S29)</f>
        <v>17</v>
      </c>
      <c r="U29" s="99">
        <f t="shared" si="0"/>
        <v>0.29244796146568036</v>
      </c>
      <c r="V29" s="97">
        <v>0</v>
      </c>
      <c r="W29" s="97">
        <v>0</v>
      </c>
      <c r="X29" s="97">
        <v>5</v>
      </c>
      <c r="Y29" s="97">
        <v>0</v>
      </c>
      <c r="Z29" s="97">
        <v>0</v>
      </c>
      <c r="AA29" s="97">
        <f t="shared" si="15"/>
        <v>5</v>
      </c>
      <c r="AB29" s="99">
        <f t="shared" si="1"/>
        <v>8.6014106313435409E-2</v>
      </c>
      <c r="AC29" s="101">
        <v>14</v>
      </c>
      <c r="AD29" s="101">
        <v>0</v>
      </c>
      <c r="AE29" s="101">
        <v>52</v>
      </c>
    </row>
    <row r="30" spans="1:34" ht="14.4" thickBot="1" x14ac:dyDescent="0.3">
      <c r="A30" s="89" t="s">
        <v>34</v>
      </c>
      <c r="B30" s="97">
        <v>960</v>
      </c>
      <c r="C30" s="97">
        <v>604</v>
      </c>
      <c r="D30" s="97">
        <v>858</v>
      </c>
      <c r="E30" s="97">
        <v>716</v>
      </c>
      <c r="F30" s="97">
        <v>1236</v>
      </c>
      <c r="G30" s="98">
        <f t="shared" si="16"/>
        <v>4374</v>
      </c>
      <c r="H30" s="97">
        <v>0</v>
      </c>
      <c r="I30" s="97">
        <v>0</v>
      </c>
      <c r="J30" s="97">
        <v>1</v>
      </c>
      <c r="K30" s="97">
        <v>3</v>
      </c>
      <c r="L30" s="97">
        <v>1</v>
      </c>
      <c r="M30" s="97">
        <f t="shared" si="14"/>
        <v>5</v>
      </c>
      <c r="N30" s="99">
        <f t="shared" si="3"/>
        <v>0.11431184270690443</v>
      </c>
      <c r="O30" s="97">
        <v>4</v>
      </c>
      <c r="P30" s="97">
        <v>0</v>
      </c>
      <c r="Q30" s="97">
        <v>9</v>
      </c>
      <c r="R30" s="97">
        <v>3</v>
      </c>
      <c r="S30" s="97">
        <v>5</v>
      </c>
      <c r="T30" s="97">
        <f t="shared" si="17"/>
        <v>21</v>
      </c>
      <c r="U30" s="99">
        <f t="shared" si="0"/>
        <v>0.48010973936899864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f t="shared" si="15"/>
        <v>0</v>
      </c>
      <c r="AB30" s="99">
        <f t="shared" si="1"/>
        <v>0</v>
      </c>
      <c r="AC30" s="101">
        <v>7</v>
      </c>
      <c r="AD30" s="101">
        <v>0</v>
      </c>
      <c r="AE30" s="101">
        <v>38</v>
      </c>
    </row>
    <row r="31" spans="1:34" ht="14.4" thickBot="1" x14ac:dyDescent="0.3">
      <c r="A31" s="89" t="s">
        <v>17</v>
      </c>
      <c r="B31" s="97">
        <v>6768</v>
      </c>
      <c r="C31" s="97">
        <v>3536</v>
      </c>
      <c r="D31" s="97">
        <v>8571</v>
      </c>
      <c r="E31" s="97">
        <v>6357</v>
      </c>
      <c r="F31" s="97">
        <v>5734</v>
      </c>
      <c r="G31" s="98">
        <f t="shared" si="16"/>
        <v>30966</v>
      </c>
      <c r="H31" s="97">
        <v>2</v>
      </c>
      <c r="I31" s="97">
        <v>0</v>
      </c>
      <c r="J31" s="97">
        <v>6</v>
      </c>
      <c r="K31" s="97">
        <v>6</v>
      </c>
      <c r="L31" s="97">
        <v>0</v>
      </c>
      <c r="M31" s="97">
        <f t="shared" si="14"/>
        <v>14</v>
      </c>
      <c r="N31" s="99">
        <f t="shared" si="3"/>
        <v>4.5210876445133372E-2</v>
      </c>
      <c r="O31" s="97">
        <v>7</v>
      </c>
      <c r="P31" s="97">
        <v>0</v>
      </c>
      <c r="Q31" s="97">
        <v>5</v>
      </c>
      <c r="R31" s="97">
        <v>7</v>
      </c>
      <c r="S31" s="97">
        <v>3</v>
      </c>
      <c r="T31" s="97">
        <f t="shared" si="17"/>
        <v>22</v>
      </c>
      <c r="U31" s="99">
        <f t="shared" si="0"/>
        <v>7.104566298520959E-2</v>
      </c>
      <c r="V31" s="97">
        <v>3</v>
      </c>
      <c r="W31" s="97">
        <v>0</v>
      </c>
      <c r="X31" s="97">
        <v>1</v>
      </c>
      <c r="Y31" s="97">
        <v>2</v>
      </c>
      <c r="Z31" s="97">
        <v>3</v>
      </c>
      <c r="AA31" s="97">
        <f t="shared" si="15"/>
        <v>9</v>
      </c>
      <c r="AB31" s="99">
        <f t="shared" si="1"/>
        <v>2.906413485758574E-2</v>
      </c>
      <c r="AC31" s="101">
        <v>4</v>
      </c>
      <c r="AD31" s="101">
        <v>0</v>
      </c>
      <c r="AE31" s="101">
        <v>133</v>
      </c>
      <c r="AH31" t="s">
        <v>52</v>
      </c>
    </row>
    <row r="32" spans="1:34" ht="14.4" thickBot="1" x14ac:dyDescent="0.3">
      <c r="A32" s="89" t="s">
        <v>18</v>
      </c>
      <c r="B32" s="97">
        <v>1688</v>
      </c>
      <c r="C32" s="97">
        <v>983</v>
      </c>
      <c r="D32" s="97">
        <v>1271</v>
      </c>
      <c r="E32" s="97">
        <v>1033</v>
      </c>
      <c r="F32" s="97">
        <v>2759</v>
      </c>
      <c r="G32" s="98">
        <f t="shared" si="16"/>
        <v>7734</v>
      </c>
      <c r="H32" s="97">
        <v>1</v>
      </c>
      <c r="I32" s="97">
        <v>0</v>
      </c>
      <c r="J32" s="97">
        <v>2</v>
      </c>
      <c r="K32" s="97">
        <v>1</v>
      </c>
      <c r="L32" s="97">
        <v>0</v>
      </c>
      <c r="M32" s="97">
        <f t="shared" si="14"/>
        <v>4</v>
      </c>
      <c r="N32" s="99">
        <f t="shared" si="3"/>
        <v>5.1719679337988107E-2</v>
      </c>
      <c r="O32" s="97">
        <v>2</v>
      </c>
      <c r="P32" s="97">
        <v>0</v>
      </c>
      <c r="Q32" s="97">
        <v>4</v>
      </c>
      <c r="R32" s="97">
        <v>3</v>
      </c>
      <c r="S32" s="97">
        <v>5</v>
      </c>
      <c r="T32" s="97">
        <f t="shared" si="17"/>
        <v>14</v>
      </c>
      <c r="U32" s="99">
        <f t="shared" si="0"/>
        <v>0.18101887768295838</v>
      </c>
      <c r="V32" s="97">
        <v>0</v>
      </c>
      <c r="W32" s="97">
        <v>1</v>
      </c>
      <c r="X32" s="97">
        <v>0</v>
      </c>
      <c r="Y32" s="97">
        <v>0</v>
      </c>
      <c r="Z32" s="97">
        <v>2</v>
      </c>
      <c r="AA32" s="97">
        <f t="shared" si="15"/>
        <v>3</v>
      </c>
      <c r="AB32" s="99">
        <f t="shared" si="1"/>
        <v>3.8789759503491075E-2</v>
      </c>
      <c r="AC32" s="101">
        <v>5</v>
      </c>
      <c r="AD32" s="101">
        <v>0</v>
      </c>
      <c r="AE32" s="101">
        <v>24</v>
      </c>
    </row>
    <row r="33" spans="1:32" ht="14.4" thickBot="1" x14ac:dyDescent="0.3">
      <c r="A33" s="89" t="s">
        <v>19</v>
      </c>
      <c r="B33" s="97">
        <v>8439</v>
      </c>
      <c r="C33" s="97">
        <v>5313</v>
      </c>
      <c r="D33" s="97">
        <v>11215</v>
      </c>
      <c r="E33" s="97">
        <v>8328</v>
      </c>
      <c r="F33" s="97">
        <v>6396</v>
      </c>
      <c r="G33" s="98">
        <f t="shared" si="16"/>
        <v>39691</v>
      </c>
      <c r="H33" s="97">
        <v>17</v>
      </c>
      <c r="I33" s="97">
        <v>15</v>
      </c>
      <c r="J33" s="97">
        <v>31</v>
      </c>
      <c r="K33" s="97">
        <v>27</v>
      </c>
      <c r="L33" s="97">
        <v>12</v>
      </c>
      <c r="M33" s="97">
        <f t="shared" si="14"/>
        <v>102</v>
      </c>
      <c r="N33" s="99">
        <f t="shared" si="3"/>
        <v>0.25698521075306746</v>
      </c>
      <c r="O33" s="97">
        <v>15</v>
      </c>
      <c r="P33" s="97">
        <v>26</v>
      </c>
      <c r="Q33" s="97">
        <v>53</v>
      </c>
      <c r="R33" s="97">
        <v>33</v>
      </c>
      <c r="S33" s="97">
        <v>16</v>
      </c>
      <c r="T33" s="97">
        <f t="shared" si="17"/>
        <v>143</v>
      </c>
      <c r="U33" s="99">
        <f t="shared" si="0"/>
        <v>0.36028318762439848</v>
      </c>
      <c r="V33" s="97">
        <v>16</v>
      </c>
      <c r="W33" s="97">
        <v>3</v>
      </c>
      <c r="X33" s="97">
        <v>33</v>
      </c>
      <c r="Y33" s="97">
        <v>5</v>
      </c>
      <c r="Z33" s="97">
        <v>8</v>
      </c>
      <c r="AA33" s="97">
        <f t="shared" si="15"/>
        <v>65</v>
      </c>
      <c r="AB33" s="99">
        <f t="shared" si="1"/>
        <v>0.1637650852838175</v>
      </c>
      <c r="AC33" s="101">
        <v>35</v>
      </c>
      <c r="AD33" s="101">
        <v>11</v>
      </c>
      <c r="AE33" s="101">
        <v>390</v>
      </c>
    </row>
    <row r="34" spans="1:32" ht="14.4" thickBot="1" x14ac:dyDescent="0.3">
      <c r="A34" s="89" t="s">
        <v>20</v>
      </c>
      <c r="B34" s="97">
        <v>7177</v>
      </c>
      <c r="C34" s="97">
        <v>4129</v>
      </c>
      <c r="D34" s="97">
        <v>8524</v>
      </c>
      <c r="E34" s="97">
        <v>8091</v>
      </c>
      <c r="F34" s="97">
        <v>4652</v>
      </c>
      <c r="G34" s="98">
        <f t="shared" si="16"/>
        <v>32573</v>
      </c>
      <c r="H34" s="97">
        <v>6</v>
      </c>
      <c r="I34" s="97">
        <v>12</v>
      </c>
      <c r="J34" s="97">
        <v>24</v>
      </c>
      <c r="K34" s="97">
        <v>8</v>
      </c>
      <c r="L34" s="97">
        <v>6</v>
      </c>
      <c r="M34" s="97">
        <f t="shared" si="14"/>
        <v>56</v>
      </c>
      <c r="N34" s="99">
        <f t="shared" si="3"/>
        <v>0.1719215301016179</v>
      </c>
      <c r="O34" s="97">
        <v>19</v>
      </c>
      <c r="P34" s="97">
        <v>13</v>
      </c>
      <c r="Q34" s="97">
        <v>24</v>
      </c>
      <c r="R34" s="97">
        <v>15</v>
      </c>
      <c r="S34" s="97">
        <v>4</v>
      </c>
      <c r="T34" s="97">
        <f t="shared" si="17"/>
        <v>75</v>
      </c>
      <c r="U34" s="99">
        <f t="shared" si="0"/>
        <v>0.23025204924323828</v>
      </c>
      <c r="V34" s="97">
        <v>14</v>
      </c>
      <c r="W34" s="97">
        <v>8</v>
      </c>
      <c r="X34" s="97">
        <v>3</v>
      </c>
      <c r="Y34" s="97">
        <v>5</v>
      </c>
      <c r="Z34" s="97">
        <v>2</v>
      </c>
      <c r="AA34" s="97">
        <f t="shared" si="15"/>
        <v>32</v>
      </c>
      <c r="AB34" s="99">
        <f t="shared" si="1"/>
        <v>9.8240874343781662E-2</v>
      </c>
      <c r="AC34" s="101">
        <v>20</v>
      </c>
      <c r="AD34" s="101">
        <v>4</v>
      </c>
      <c r="AE34" s="101">
        <v>257</v>
      </c>
    </row>
    <row r="35" spans="1:32" ht="14.4" thickBot="1" x14ac:dyDescent="0.3">
      <c r="A35" s="89" t="s">
        <v>25</v>
      </c>
      <c r="B35" s="97">
        <v>240</v>
      </c>
      <c r="C35" s="97">
        <v>68</v>
      </c>
      <c r="D35" s="97">
        <v>168</v>
      </c>
      <c r="E35" s="97">
        <v>103</v>
      </c>
      <c r="F35" s="97">
        <v>85</v>
      </c>
      <c r="G35" s="98">
        <f t="shared" si="16"/>
        <v>664</v>
      </c>
      <c r="H35" s="97">
        <v>0</v>
      </c>
      <c r="I35" s="97">
        <v>2</v>
      </c>
      <c r="J35" s="97">
        <v>0</v>
      </c>
      <c r="K35" s="97">
        <v>0</v>
      </c>
      <c r="L35" s="97">
        <v>0</v>
      </c>
      <c r="M35" s="97">
        <f t="shared" si="14"/>
        <v>2</v>
      </c>
      <c r="N35" s="99">
        <f t="shared" si="3"/>
        <v>0.30120481927710846</v>
      </c>
      <c r="O35" s="97">
        <v>0</v>
      </c>
      <c r="P35" s="97">
        <v>0</v>
      </c>
      <c r="Q35" s="97">
        <v>2</v>
      </c>
      <c r="R35" s="97">
        <v>3</v>
      </c>
      <c r="S35" s="97">
        <v>3</v>
      </c>
      <c r="T35" s="97">
        <f t="shared" si="17"/>
        <v>8</v>
      </c>
      <c r="U35" s="99">
        <f t="shared" si="0"/>
        <v>1.2048192771084338</v>
      </c>
      <c r="V35" s="97">
        <v>1</v>
      </c>
      <c r="W35" s="97">
        <v>0</v>
      </c>
      <c r="X35" s="97">
        <v>2</v>
      </c>
      <c r="Y35" s="97">
        <v>0</v>
      </c>
      <c r="Z35" s="97">
        <v>0</v>
      </c>
      <c r="AA35" s="97">
        <f t="shared" si="15"/>
        <v>3</v>
      </c>
      <c r="AB35" s="99">
        <f t="shared" si="1"/>
        <v>0.45180722891566266</v>
      </c>
      <c r="AC35" s="101">
        <v>12</v>
      </c>
      <c r="AD35" s="101">
        <v>0</v>
      </c>
      <c r="AE35" s="101">
        <v>17</v>
      </c>
    </row>
    <row r="36" spans="1:32" ht="14.4" thickBot="1" x14ac:dyDescent="0.3">
      <c r="A36" s="89" t="s">
        <v>26</v>
      </c>
      <c r="B36" s="97">
        <v>79692</v>
      </c>
      <c r="C36" s="97">
        <v>49825</v>
      </c>
      <c r="D36" s="97">
        <v>110528</v>
      </c>
      <c r="E36" s="97">
        <v>99785</v>
      </c>
      <c r="F36" s="97">
        <v>69855</v>
      </c>
      <c r="G36" s="98">
        <f t="shared" si="16"/>
        <v>409685</v>
      </c>
      <c r="H36" s="97">
        <v>120</v>
      </c>
      <c r="I36" s="97">
        <v>70</v>
      </c>
      <c r="J36" s="97">
        <v>170</v>
      </c>
      <c r="K36" s="97">
        <v>79</v>
      </c>
      <c r="L36" s="97">
        <v>50</v>
      </c>
      <c r="M36" s="97">
        <f t="shared" si="14"/>
        <v>489</v>
      </c>
      <c r="N36" s="99">
        <f t="shared" si="3"/>
        <v>0.11935999609456045</v>
      </c>
      <c r="O36" s="97">
        <v>179</v>
      </c>
      <c r="P36" s="97">
        <v>90</v>
      </c>
      <c r="Q36" s="97">
        <v>233</v>
      </c>
      <c r="R36" s="97">
        <v>171</v>
      </c>
      <c r="S36" s="97">
        <v>128</v>
      </c>
      <c r="T36" s="97">
        <f t="shared" si="17"/>
        <v>801</v>
      </c>
      <c r="U36" s="99">
        <f t="shared" si="0"/>
        <v>0.19551606722237816</v>
      </c>
      <c r="V36" s="97">
        <v>194</v>
      </c>
      <c r="W36" s="97">
        <v>14</v>
      </c>
      <c r="X36" s="97">
        <v>155</v>
      </c>
      <c r="Y36" s="97">
        <v>54</v>
      </c>
      <c r="Z36" s="97">
        <v>44</v>
      </c>
      <c r="AA36" s="97">
        <f t="shared" si="15"/>
        <v>461</v>
      </c>
      <c r="AB36" s="99">
        <f t="shared" si="1"/>
        <v>0.11252547689078195</v>
      </c>
      <c r="AC36" s="101">
        <v>176</v>
      </c>
      <c r="AD36" s="101">
        <v>63</v>
      </c>
      <c r="AE36" s="97">
        <v>3073</v>
      </c>
    </row>
    <row r="37" spans="1:32" s="132" customFormat="1" ht="14.4" thickBot="1" x14ac:dyDescent="0.3">
      <c r="A37" s="128" t="s">
        <v>21</v>
      </c>
      <c r="B37" s="111">
        <f t="shared" ref="B37:M37" si="18">SUM(B28:B36)</f>
        <v>109221</v>
      </c>
      <c r="C37" s="111">
        <f t="shared" si="18"/>
        <v>66937</v>
      </c>
      <c r="D37" s="111">
        <f t="shared" si="18"/>
        <v>146321</v>
      </c>
      <c r="E37" s="111">
        <f>SUM(E28:E36)</f>
        <v>128526</v>
      </c>
      <c r="F37" s="111">
        <f t="shared" si="18"/>
        <v>94582</v>
      </c>
      <c r="G37" s="102">
        <f t="shared" si="18"/>
        <v>545587</v>
      </c>
      <c r="H37" s="111">
        <f t="shared" si="18"/>
        <v>151</v>
      </c>
      <c r="I37" s="111">
        <f t="shared" si="18"/>
        <v>101</v>
      </c>
      <c r="J37" s="111">
        <f t="shared" si="18"/>
        <v>238</v>
      </c>
      <c r="K37" s="111">
        <f>SUM(K28:K36)</f>
        <v>128</v>
      </c>
      <c r="L37" s="111">
        <f t="shared" si="18"/>
        <v>71</v>
      </c>
      <c r="M37" s="103">
        <f t="shared" si="18"/>
        <v>689</v>
      </c>
      <c r="N37" s="104">
        <f t="shared" si="3"/>
        <v>0.12628600021628081</v>
      </c>
      <c r="O37" s="111">
        <f t="shared" ref="O37:T37" si="19">SUM(O28:O36)</f>
        <v>235</v>
      </c>
      <c r="P37" s="111">
        <f t="shared" si="19"/>
        <v>137</v>
      </c>
      <c r="Q37" s="111">
        <f t="shared" si="19"/>
        <v>341</v>
      </c>
      <c r="R37" s="111">
        <f>SUM(R28:R36)</f>
        <v>244</v>
      </c>
      <c r="S37" s="111">
        <f t="shared" si="19"/>
        <v>167</v>
      </c>
      <c r="T37" s="103">
        <f t="shared" si="19"/>
        <v>1124</v>
      </c>
      <c r="U37" s="104">
        <f t="shared" si="0"/>
        <v>0.206016638959506</v>
      </c>
      <c r="V37" s="111">
        <f t="shared" ref="V37:AA37" si="20">SUM(V28:V36)</f>
        <v>228</v>
      </c>
      <c r="W37" s="111">
        <f t="shared" si="20"/>
        <v>29</v>
      </c>
      <c r="X37" s="111">
        <f t="shared" si="20"/>
        <v>201</v>
      </c>
      <c r="Y37" s="111">
        <f>SUM(Y28:Y36)</f>
        <v>66</v>
      </c>
      <c r="Z37" s="111">
        <f t="shared" si="20"/>
        <v>59</v>
      </c>
      <c r="AA37" s="103">
        <f t="shared" si="20"/>
        <v>583</v>
      </c>
      <c r="AB37" s="104">
        <f t="shared" si="1"/>
        <v>0.10685738479839146</v>
      </c>
      <c r="AC37" s="107">
        <f>SUM(AC28:AC36)</f>
        <v>278</v>
      </c>
      <c r="AD37" s="107">
        <f>SUM(AD28:AD36)</f>
        <v>79</v>
      </c>
      <c r="AE37" s="114">
        <f>SUM(AE28:AE36)</f>
        <v>4069</v>
      </c>
      <c r="AF37" s="143"/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222</v>
      </c>
      <c r="C40" s="97">
        <v>118</v>
      </c>
      <c r="D40" s="97">
        <v>256</v>
      </c>
      <c r="E40" s="97">
        <v>197</v>
      </c>
      <c r="F40" s="97">
        <v>149</v>
      </c>
      <c r="G40" s="98">
        <f>SUM(B40:F40)</f>
        <v>942</v>
      </c>
      <c r="H40" s="97">
        <v>0</v>
      </c>
      <c r="I40" s="97">
        <v>0</v>
      </c>
      <c r="J40" s="97">
        <v>0</v>
      </c>
      <c r="K40" s="97">
        <v>0</v>
      </c>
      <c r="L40" s="120">
        <v>0</v>
      </c>
      <c r="M40" s="97">
        <f>SUM(H40:L40)</f>
        <v>0</v>
      </c>
      <c r="N40" s="99">
        <f t="shared" si="3"/>
        <v>0</v>
      </c>
      <c r="O40" s="97">
        <v>0</v>
      </c>
      <c r="P40" s="97">
        <v>2</v>
      </c>
      <c r="Q40" s="97">
        <v>3</v>
      </c>
      <c r="R40" s="97">
        <v>0</v>
      </c>
      <c r="S40" s="97">
        <v>0</v>
      </c>
      <c r="T40" s="97">
        <f>SUM(O40:S40)</f>
        <v>5</v>
      </c>
      <c r="U40" s="99">
        <f t="shared" si="0"/>
        <v>0.53078556263269638</v>
      </c>
      <c r="V40" s="133">
        <v>0</v>
      </c>
      <c r="W40" s="133">
        <v>0</v>
      </c>
      <c r="X40" s="133">
        <v>0</v>
      </c>
      <c r="Y40" s="133">
        <f>Kölle14!E40</f>
        <v>0</v>
      </c>
      <c r="Z40" s="133">
        <v>0</v>
      </c>
      <c r="AA40" s="101">
        <f>SUM(V40:Z40)</f>
        <v>0</v>
      </c>
      <c r="AB40" s="99">
        <f t="shared" si="1"/>
        <v>0</v>
      </c>
      <c r="AC40" s="101">
        <v>2</v>
      </c>
      <c r="AD40" s="101">
        <v>0</v>
      </c>
      <c r="AE40" s="101">
        <v>9</v>
      </c>
    </row>
    <row r="41" spans="1:32" ht="14.4" thickBot="1" x14ac:dyDescent="0.3">
      <c r="A41" s="89" t="s">
        <v>27</v>
      </c>
      <c r="B41" s="97">
        <v>101534</v>
      </c>
      <c r="C41" s="97">
        <v>44373</v>
      </c>
      <c r="D41" s="109">
        <v>44686</v>
      </c>
      <c r="E41" s="97">
        <v>71678</v>
      </c>
      <c r="F41" s="97">
        <v>69487</v>
      </c>
      <c r="G41" s="98">
        <f>SUM(B41:F41)</f>
        <v>331758</v>
      </c>
      <c r="H41" s="97">
        <v>34</v>
      </c>
      <c r="I41" s="97">
        <v>26</v>
      </c>
      <c r="J41" s="97">
        <v>31</v>
      </c>
      <c r="K41" s="97">
        <v>11</v>
      </c>
      <c r="L41" s="97">
        <v>14</v>
      </c>
      <c r="M41" s="97">
        <f>SUM(H41:L41)</f>
        <v>116</v>
      </c>
      <c r="N41" s="99">
        <f t="shared" si="3"/>
        <v>3.4965245751421216E-2</v>
      </c>
      <c r="O41" s="97">
        <v>20</v>
      </c>
      <c r="P41" s="97">
        <v>16</v>
      </c>
      <c r="Q41" s="97">
        <v>40</v>
      </c>
      <c r="R41" s="97">
        <v>15</v>
      </c>
      <c r="S41" s="97">
        <v>18</v>
      </c>
      <c r="T41" s="97">
        <f>SUM(O41:S41)</f>
        <v>109</v>
      </c>
      <c r="U41" s="99">
        <f t="shared" si="0"/>
        <v>3.2855274025042347E-2</v>
      </c>
      <c r="V41" s="109">
        <v>18</v>
      </c>
      <c r="W41" s="109">
        <v>5</v>
      </c>
      <c r="X41" s="133">
        <v>31</v>
      </c>
      <c r="Y41" s="133">
        <v>6</v>
      </c>
      <c r="Z41" s="133">
        <v>3</v>
      </c>
      <c r="AA41" s="97">
        <f>SUM(V41:Z41)</f>
        <v>63</v>
      </c>
      <c r="AB41" s="99">
        <f t="shared" si="1"/>
        <v>1.89897455374098E-2</v>
      </c>
      <c r="AC41" s="101">
        <v>13</v>
      </c>
      <c r="AD41" s="101">
        <v>9</v>
      </c>
      <c r="AE41" s="101">
        <v>424</v>
      </c>
    </row>
    <row r="42" spans="1:32" s="132" customFormat="1" ht="14.4" thickBot="1" x14ac:dyDescent="0.3">
      <c r="A42" s="128" t="s">
        <v>21</v>
      </c>
      <c r="B42" s="111">
        <f>SUM(B40:B41)</f>
        <v>101756</v>
      </c>
      <c r="C42" s="111">
        <f>SUM(C40:C41)</f>
        <v>44491</v>
      </c>
      <c r="D42" s="111">
        <f>SUM(D40:D41)</f>
        <v>44942</v>
      </c>
      <c r="E42" s="111">
        <f>SUM(E40:E41)</f>
        <v>71875</v>
      </c>
      <c r="F42" s="111">
        <f>SUM(F40:F41)</f>
        <v>69636</v>
      </c>
      <c r="G42" s="102">
        <f t="shared" ref="G42:M42" si="21">SUM(G40:G41)</f>
        <v>332700</v>
      </c>
      <c r="H42" s="115">
        <f>SUM(H40:H41)</f>
        <v>34</v>
      </c>
      <c r="I42" s="115">
        <f>SUM(I40:I41)</f>
        <v>26</v>
      </c>
      <c r="J42" s="115">
        <f>SUM(J40:J41)</f>
        <v>31</v>
      </c>
      <c r="K42" s="115">
        <f>SUM(K40:K41)</f>
        <v>11</v>
      </c>
      <c r="L42" s="115">
        <f>SUM(L40:L41)</f>
        <v>14</v>
      </c>
      <c r="M42" s="103">
        <f t="shared" si="21"/>
        <v>116</v>
      </c>
      <c r="N42" s="104">
        <f t="shared" si="3"/>
        <v>3.486624586714758E-2</v>
      </c>
      <c r="O42" s="111">
        <f t="shared" ref="O42:T42" si="22">SUM(O40:O41)</f>
        <v>20</v>
      </c>
      <c r="P42" s="111">
        <f t="shared" si="22"/>
        <v>18</v>
      </c>
      <c r="Q42" s="111">
        <f t="shared" si="22"/>
        <v>43</v>
      </c>
      <c r="R42" s="111">
        <f t="shared" si="22"/>
        <v>15</v>
      </c>
      <c r="S42" s="111">
        <f t="shared" si="22"/>
        <v>18</v>
      </c>
      <c r="T42" s="103">
        <f t="shared" si="22"/>
        <v>114</v>
      </c>
      <c r="U42" s="104">
        <f t="shared" si="0"/>
        <v>3.4265103697024346E-2</v>
      </c>
      <c r="V42" s="116">
        <f>SUM(V40:V41)</f>
        <v>18</v>
      </c>
      <c r="W42" s="116">
        <f t="shared" ref="W42:Z42" si="23">SUM(W40:W41)</f>
        <v>5</v>
      </c>
      <c r="X42" s="116">
        <f t="shared" si="23"/>
        <v>31</v>
      </c>
      <c r="Y42" s="116">
        <f>SUM(Y40:Y41)</f>
        <v>6</v>
      </c>
      <c r="Z42" s="116">
        <f t="shared" si="23"/>
        <v>3</v>
      </c>
      <c r="AA42" s="106">
        <f>SUM(AA40:AA41)</f>
        <v>63</v>
      </c>
      <c r="AB42" s="104">
        <f t="shared" si="1"/>
        <v>1.8935978358881875E-2</v>
      </c>
      <c r="AC42" s="107">
        <f>SUM(AC40:AC41)</f>
        <v>15</v>
      </c>
      <c r="AD42" s="107">
        <f>SUM(AD40:AD41)</f>
        <v>9</v>
      </c>
      <c r="AE42" s="107">
        <f>SUM(AE40:AE41)</f>
        <v>433</v>
      </c>
    </row>
    <row r="43" spans="1:32" s="132" customFormat="1" ht="16.2" thickBot="1" x14ac:dyDescent="0.3">
      <c r="A43" s="121" t="s">
        <v>48</v>
      </c>
      <c r="B43" s="138">
        <f>B11+B25+B37+B42</f>
        <v>214208</v>
      </c>
      <c r="C43" s="134">
        <f>C11+C25+C37+C42</f>
        <v>112717</v>
      </c>
      <c r="D43" s="138">
        <f>D11+D25+D37+D42</f>
        <v>195882</v>
      </c>
      <c r="E43" s="134">
        <f>SUM(B43:D43)</f>
        <v>522807</v>
      </c>
      <c r="F43" s="134">
        <f t="shared" ref="F43:M43" si="24">F11+F25+F37+F42</f>
        <v>166035</v>
      </c>
      <c r="G43" s="122">
        <f t="shared" si="24"/>
        <v>893517</v>
      </c>
      <c r="H43" s="122">
        <f t="shared" si="24"/>
        <v>192</v>
      </c>
      <c r="I43" s="122">
        <f t="shared" si="24"/>
        <v>132</v>
      </c>
      <c r="J43" s="122">
        <f t="shared" si="24"/>
        <v>282</v>
      </c>
      <c r="K43" s="122">
        <f>K11+K25+K37+K42</f>
        <v>159</v>
      </c>
      <c r="L43" s="122">
        <f t="shared" si="24"/>
        <v>90</v>
      </c>
      <c r="M43" s="122">
        <f t="shared" si="24"/>
        <v>855</v>
      </c>
      <c r="N43" s="123">
        <f t="shared" si="3"/>
        <v>9.5689281793183562E-2</v>
      </c>
      <c r="O43" s="122">
        <f t="shared" ref="O43:T43" si="25">O11+O25+O37+O42</f>
        <v>276</v>
      </c>
      <c r="P43" s="122">
        <f t="shared" si="25"/>
        <v>160</v>
      </c>
      <c r="Q43" s="122">
        <f t="shared" si="25"/>
        <v>421</v>
      </c>
      <c r="R43" s="122">
        <f>R11+R25+R37+R42</f>
        <v>305</v>
      </c>
      <c r="S43" s="122">
        <f t="shared" si="25"/>
        <v>195</v>
      </c>
      <c r="T43" s="122">
        <f t="shared" si="25"/>
        <v>1357</v>
      </c>
      <c r="U43" s="123">
        <f t="shared" si="0"/>
        <v>0.15187176069397673</v>
      </c>
      <c r="V43" s="122">
        <f t="shared" ref="V43:AA43" si="26">V11+V25+V37+V42</f>
        <v>259</v>
      </c>
      <c r="W43" s="122">
        <f t="shared" si="26"/>
        <v>35</v>
      </c>
      <c r="X43" s="122">
        <f t="shared" si="26"/>
        <v>255</v>
      </c>
      <c r="Y43" s="122">
        <f t="shared" si="26"/>
        <v>77</v>
      </c>
      <c r="Z43" s="122">
        <f t="shared" si="26"/>
        <v>69</v>
      </c>
      <c r="AA43" s="122">
        <f t="shared" si="26"/>
        <v>695</v>
      </c>
      <c r="AB43" s="123">
        <f t="shared" si="1"/>
        <v>7.778251560966383E-2</v>
      </c>
      <c r="AC43" s="122">
        <f>AC11+AC25+AC37+AC42</f>
        <v>322</v>
      </c>
      <c r="AD43" s="122">
        <f>AD11+AD25+AD37+AD42</f>
        <v>96</v>
      </c>
      <c r="AE43" s="122">
        <f>AE11+AE25+AE37+AE42</f>
        <v>4990</v>
      </c>
    </row>
    <row r="44" spans="1:32" ht="13.8" x14ac:dyDescent="0.25">
      <c r="A44" s="16"/>
      <c r="B44" s="163"/>
      <c r="C44" s="163"/>
      <c r="D44" s="163"/>
      <c r="E44" s="163"/>
      <c r="F44" s="163"/>
      <c r="G44" s="163"/>
      <c r="H44" s="163"/>
      <c r="I44" s="16"/>
      <c r="J44" s="16"/>
      <c r="K44" s="16"/>
      <c r="L44" s="2"/>
      <c r="M44" s="2"/>
      <c r="N44" s="2"/>
    </row>
    <row r="45" spans="1:32" ht="13.2" customHeight="1" x14ac:dyDescent="0.25">
      <c r="B45" s="164"/>
      <c r="C45" s="164"/>
      <c r="D45" s="164"/>
      <c r="E45" s="164"/>
      <c r="F45" s="164"/>
      <c r="G45" s="164"/>
      <c r="H45" s="164"/>
    </row>
    <row r="46" spans="1:32" ht="13.2" customHeight="1" x14ac:dyDescent="0.25">
      <c r="B46" s="164"/>
      <c r="C46" s="164"/>
      <c r="D46" s="164"/>
      <c r="E46" s="164"/>
      <c r="F46" s="164"/>
      <c r="G46" s="164"/>
      <c r="H46" s="164"/>
    </row>
    <row r="47" spans="1:32" ht="13.2" customHeight="1" x14ac:dyDescent="0.25">
      <c r="B47" s="164"/>
      <c r="C47" s="164"/>
      <c r="D47" s="164"/>
      <c r="E47" s="164"/>
      <c r="F47" s="164"/>
      <c r="G47" s="164"/>
      <c r="H47" s="164"/>
    </row>
    <row r="48" spans="1:32" ht="13.2" customHeight="1" x14ac:dyDescent="0.25">
      <c r="B48" s="164"/>
      <c r="C48" s="164"/>
      <c r="D48" s="164"/>
      <c r="E48" s="164"/>
      <c r="F48" s="164"/>
      <c r="G48" s="164"/>
      <c r="H48" s="164"/>
    </row>
  </sheetData>
  <mergeCells count="9">
    <mergeCell ref="A1:AE1"/>
    <mergeCell ref="A3:A4"/>
    <mergeCell ref="V3:AA3"/>
    <mergeCell ref="N3:N4"/>
    <mergeCell ref="AB3:AB4"/>
    <mergeCell ref="U3:U4"/>
    <mergeCell ref="O3:T3"/>
    <mergeCell ref="H3:M3"/>
    <mergeCell ref="B3:G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J51"/>
  <sheetViews>
    <sheetView zoomScaleNormal="10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N49" sqref="N49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6" s="84" customFormat="1" ht="24.6" x14ac:dyDescent="0.4">
      <c r="A1" s="479" t="s">
        <v>101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6" s="84" customFormat="1" ht="18" customHeight="1" thickBot="1" x14ac:dyDescent="0.35"/>
    <row r="3" spans="1:36" ht="66" customHeight="1" thickTop="1" thickBot="1" x14ac:dyDescent="0.3">
      <c r="A3" s="480" t="s">
        <v>24</v>
      </c>
      <c r="B3" s="513" t="s">
        <v>0</v>
      </c>
      <c r="C3" s="514"/>
      <c r="D3" s="514"/>
      <c r="E3" s="514"/>
      <c r="F3" s="514"/>
      <c r="G3" s="515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105</v>
      </c>
      <c r="P3" s="486"/>
      <c r="Q3" s="486"/>
      <c r="R3" s="486"/>
      <c r="S3" s="486"/>
      <c r="T3" s="487"/>
      <c r="U3" s="483" t="s">
        <v>42</v>
      </c>
      <c r="V3" s="485" t="s">
        <v>43</v>
      </c>
      <c r="W3" s="486"/>
      <c r="X3" s="486"/>
      <c r="Y3" s="486"/>
      <c r="Z3" s="486"/>
      <c r="AA3" s="487"/>
      <c r="AB3" s="488" t="s">
        <v>42</v>
      </c>
      <c r="AC3" s="95" t="s">
        <v>116</v>
      </c>
      <c r="AD3" s="96" t="s">
        <v>119</v>
      </c>
      <c r="AE3" s="96" t="s">
        <v>106</v>
      </c>
      <c r="AF3" s="19"/>
      <c r="AG3" s="19"/>
      <c r="AH3" s="19"/>
      <c r="AI3" s="19"/>
      <c r="AJ3" s="19"/>
    </row>
    <row r="4" spans="1:36" ht="13.8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516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6" ht="14.4" thickBot="1" x14ac:dyDescent="0.3">
      <c r="A6" s="89" t="s">
        <v>1</v>
      </c>
      <c r="B6" s="97">
        <v>92</v>
      </c>
      <c r="C6" s="97">
        <v>36</v>
      </c>
      <c r="D6" s="97">
        <v>102</v>
      </c>
      <c r="E6" s="137">
        <v>99</v>
      </c>
      <c r="F6" s="97">
        <v>36</v>
      </c>
      <c r="G6" s="98">
        <f>SUM(B6:F6)</f>
        <v>365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101">
        <f>SUM(H6:L6)</f>
        <v>0</v>
      </c>
      <c r="N6" s="99">
        <f>M6*100/G6</f>
        <v>0</v>
      </c>
      <c r="O6" s="97">
        <v>1</v>
      </c>
      <c r="P6" s="97">
        <v>0</v>
      </c>
      <c r="Q6" s="97">
        <v>4</v>
      </c>
      <c r="R6" s="97">
        <v>1</v>
      </c>
      <c r="S6" s="97">
        <v>0</v>
      </c>
      <c r="T6" s="101">
        <f>SUM(O6:S6)</f>
        <v>6</v>
      </c>
      <c r="U6" s="99">
        <f>T6*100/G6</f>
        <v>1.6438356164383561</v>
      </c>
      <c r="V6" s="97">
        <v>0</v>
      </c>
      <c r="W6" s="97">
        <v>0</v>
      </c>
      <c r="X6" s="97">
        <v>3</v>
      </c>
      <c r="Y6" s="97">
        <v>0</v>
      </c>
      <c r="Z6" s="97">
        <v>0</v>
      </c>
      <c r="AA6" s="97">
        <f>SUM(V6:Z6)</f>
        <v>3</v>
      </c>
      <c r="AB6" s="99">
        <f>AA6*100/G6</f>
        <v>0.82191780821917804</v>
      </c>
      <c r="AC6" s="101">
        <f>0+0+0+0+0</f>
        <v>0</v>
      </c>
      <c r="AD6" s="101">
        <f>0+0+0+0+0</f>
        <v>0</v>
      </c>
      <c r="AE6" s="101">
        <f>5+0+9+1+0</f>
        <v>15</v>
      </c>
    </row>
    <row r="7" spans="1:36" ht="14.4" thickBot="1" x14ac:dyDescent="0.3">
      <c r="A7" s="90" t="s">
        <v>2</v>
      </c>
      <c r="B7" s="97">
        <v>544</v>
      </c>
      <c r="C7" s="97">
        <v>190</v>
      </c>
      <c r="D7" s="97">
        <v>785</v>
      </c>
      <c r="E7" s="137">
        <v>671</v>
      </c>
      <c r="F7" s="97">
        <v>240</v>
      </c>
      <c r="G7" s="98">
        <f>SUM(B7:F7)</f>
        <v>2430</v>
      </c>
      <c r="H7" s="97">
        <v>2</v>
      </c>
      <c r="I7" s="97">
        <v>1</v>
      </c>
      <c r="J7" s="97">
        <v>3</v>
      </c>
      <c r="K7" s="97">
        <v>1</v>
      </c>
      <c r="L7" s="97">
        <v>0</v>
      </c>
      <c r="M7" s="97">
        <f>SUM(H7:L7)</f>
        <v>7</v>
      </c>
      <c r="N7" s="99">
        <f>M7*100/G7</f>
        <v>0.2880658436213992</v>
      </c>
      <c r="O7" s="97">
        <v>3</v>
      </c>
      <c r="P7" s="97">
        <v>5</v>
      </c>
      <c r="Q7" s="97">
        <v>6</v>
      </c>
      <c r="R7" s="97">
        <v>10</v>
      </c>
      <c r="S7" s="97">
        <v>0</v>
      </c>
      <c r="T7" s="97">
        <f>SUM(O7:S7)</f>
        <v>24</v>
      </c>
      <c r="U7" s="99">
        <f>T7*100/G7</f>
        <v>0.98765432098765427</v>
      </c>
      <c r="V7" s="97">
        <v>2</v>
      </c>
      <c r="W7" s="97">
        <v>1</v>
      </c>
      <c r="X7" s="97">
        <v>18</v>
      </c>
      <c r="Y7" s="97">
        <v>2</v>
      </c>
      <c r="Z7" s="97">
        <v>3</v>
      </c>
      <c r="AA7" s="97">
        <f>SUM(V7:Z7)</f>
        <v>26</v>
      </c>
      <c r="AB7" s="99">
        <f>AA7*100/G7</f>
        <v>1.0699588477366255</v>
      </c>
      <c r="AC7" s="101">
        <f>0+1+1+0+2</f>
        <v>4</v>
      </c>
      <c r="AD7" s="101">
        <f>0+0+1+0+0</f>
        <v>1</v>
      </c>
      <c r="AE7" s="101">
        <f>12+8+37+5+6</f>
        <v>68</v>
      </c>
    </row>
    <row r="8" spans="1:36" ht="14.4" thickBot="1" x14ac:dyDescent="0.3">
      <c r="A8" s="90" t="s">
        <v>14</v>
      </c>
      <c r="B8" s="97">
        <v>55</v>
      </c>
      <c r="C8" s="97">
        <v>40</v>
      </c>
      <c r="D8" s="97">
        <v>75</v>
      </c>
      <c r="E8" s="137">
        <v>90</v>
      </c>
      <c r="F8" s="97">
        <v>45</v>
      </c>
      <c r="G8" s="98">
        <f>SUM(B8:F8)</f>
        <v>305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101">
        <f>SUM(H8:L8)</f>
        <v>0</v>
      </c>
      <c r="N8" s="99">
        <f>M8*100/G8</f>
        <v>0</v>
      </c>
      <c r="O8" s="97">
        <v>0</v>
      </c>
      <c r="P8" s="97">
        <v>0</v>
      </c>
      <c r="Q8" s="97">
        <v>0</v>
      </c>
      <c r="R8" s="97">
        <v>1</v>
      </c>
      <c r="S8" s="97">
        <v>0</v>
      </c>
      <c r="T8" s="101">
        <f>SUM(O8:S8)</f>
        <v>1</v>
      </c>
      <c r="U8" s="99">
        <f t="shared" ref="U8:U43" si="0">T8*100/G8</f>
        <v>0.32786885245901637</v>
      </c>
      <c r="V8" s="97">
        <v>0</v>
      </c>
      <c r="W8" s="97">
        <v>0</v>
      </c>
      <c r="X8" s="97">
        <v>3</v>
      </c>
      <c r="Y8" s="97">
        <v>0</v>
      </c>
      <c r="Z8" s="97">
        <v>0</v>
      </c>
      <c r="AA8" s="97">
        <f>SUM(V8:Z8)</f>
        <v>3</v>
      </c>
      <c r="AB8" s="99">
        <f t="shared" ref="AB8:AB43" si="1">AA8*100/G8</f>
        <v>0.98360655737704916</v>
      </c>
      <c r="AC8" s="101">
        <f>0+0+0+0+0</f>
        <v>0</v>
      </c>
      <c r="AD8" s="101">
        <f>0+0+0+0+0</f>
        <v>0</v>
      </c>
      <c r="AE8" s="101">
        <f>1+0+5+0+0</f>
        <v>6</v>
      </c>
    </row>
    <row r="9" spans="1:36" ht="14.4" thickBot="1" x14ac:dyDescent="0.3">
      <c r="A9" s="90" t="s">
        <v>3</v>
      </c>
      <c r="B9" s="97">
        <v>94</v>
      </c>
      <c r="C9" s="97">
        <v>74</v>
      </c>
      <c r="D9" s="97">
        <v>148</v>
      </c>
      <c r="E9" s="137">
        <v>134</v>
      </c>
      <c r="F9" s="97">
        <v>38</v>
      </c>
      <c r="G9" s="98">
        <f>SUM(B9:F9)</f>
        <v>488</v>
      </c>
      <c r="H9" s="97">
        <v>0</v>
      </c>
      <c r="I9" s="97">
        <v>1</v>
      </c>
      <c r="J9" s="97">
        <v>1</v>
      </c>
      <c r="K9" s="97">
        <v>0</v>
      </c>
      <c r="L9" s="97">
        <v>0</v>
      </c>
      <c r="M9" s="97">
        <f>SUM(H9:L9)</f>
        <v>2</v>
      </c>
      <c r="N9" s="99">
        <f>M9*100/G9</f>
        <v>0.4098360655737705</v>
      </c>
      <c r="O9" s="97">
        <v>0</v>
      </c>
      <c r="P9" s="97">
        <v>0</v>
      </c>
      <c r="Q9" s="97">
        <v>1</v>
      </c>
      <c r="R9" s="97">
        <v>1</v>
      </c>
      <c r="S9" s="97">
        <v>0</v>
      </c>
      <c r="T9" s="97">
        <f>SUM(O9:S9)</f>
        <v>2</v>
      </c>
      <c r="U9" s="99">
        <f t="shared" si="0"/>
        <v>0.4098360655737705</v>
      </c>
      <c r="V9" s="97">
        <v>0</v>
      </c>
      <c r="W9" s="97">
        <v>0</v>
      </c>
      <c r="X9" s="97">
        <v>0</v>
      </c>
      <c r="Y9" s="97">
        <v>0</v>
      </c>
      <c r="Z9" s="97">
        <v>0</v>
      </c>
      <c r="AA9" s="97">
        <f>SUM(V9:Z9)</f>
        <v>0</v>
      </c>
      <c r="AB9" s="99">
        <f t="shared" si="1"/>
        <v>0</v>
      </c>
      <c r="AC9" s="101">
        <f>0+0+0+1+0+0</f>
        <v>1</v>
      </c>
      <c r="AD9" s="101">
        <f>0+0+0+0+0</f>
        <v>0</v>
      </c>
      <c r="AE9" s="101">
        <f>7+0+4+0+0</f>
        <v>11</v>
      </c>
    </row>
    <row r="10" spans="1:36" ht="23.4" thickBot="1" x14ac:dyDescent="0.3">
      <c r="A10" s="139" t="s">
        <v>23</v>
      </c>
      <c r="B10" s="97">
        <v>584</v>
      </c>
      <c r="C10" s="97">
        <v>230</v>
      </c>
      <c r="D10" s="97">
        <v>867</v>
      </c>
      <c r="E10" s="137">
        <v>888</v>
      </c>
      <c r="F10" s="97">
        <v>306</v>
      </c>
      <c r="G10" s="98">
        <f>SUM(B10:F10)</f>
        <v>2875</v>
      </c>
      <c r="H10" s="97">
        <v>0</v>
      </c>
      <c r="I10" s="97">
        <v>4</v>
      </c>
      <c r="J10" s="97">
        <v>0</v>
      </c>
      <c r="K10" s="97">
        <v>2</v>
      </c>
      <c r="L10" s="97">
        <v>0</v>
      </c>
      <c r="M10" s="97">
        <f>SUM(H10:L10)</f>
        <v>6</v>
      </c>
      <c r="N10" s="99">
        <f>M10*100/G10</f>
        <v>0.20869565217391303</v>
      </c>
      <c r="O10" s="97">
        <v>1</v>
      </c>
      <c r="P10" s="97">
        <v>4</v>
      </c>
      <c r="Q10" s="97">
        <v>0</v>
      </c>
      <c r="R10" s="97">
        <v>7</v>
      </c>
      <c r="S10" s="97">
        <v>0</v>
      </c>
      <c r="T10" s="100">
        <f>SUM(O10:S10)</f>
        <v>12</v>
      </c>
      <c r="U10" s="99">
        <f t="shared" si="0"/>
        <v>0.41739130434782606</v>
      </c>
      <c r="V10" s="97">
        <v>0</v>
      </c>
      <c r="W10" s="97">
        <v>2</v>
      </c>
      <c r="X10" s="97">
        <v>6</v>
      </c>
      <c r="Y10" s="97">
        <v>0</v>
      </c>
      <c r="Z10" s="97">
        <v>1</v>
      </c>
      <c r="AA10" s="97">
        <f>SUM(V10:Z10)</f>
        <v>9</v>
      </c>
      <c r="AB10" s="99">
        <f t="shared" si="1"/>
        <v>0.31304347826086959</v>
      </c>
      <c r="AC10" s="101">
        <f>0+0+1+1+2</f>
        <v>4</v>
      </c>
      <c r="AD10" s="101">
        <f>1+1+0+1+0</f>
        <v>3</v>
      </c>
      <c r="AE10" s="101">
        <f>3+3+15+9+21</f>
        <v>51</v>
      </c>
    </row>
    <row r="11" spans="1:36" s="132" customFormat="1" ht="14.4" thickBot="1" x14ac:dyDescent="0.3">
      <c r="A11" s="124" t="s">
        <v>21</v>
      </c>
      <c r="B11" s="105">
        <f>SUM(B6:B10)</f>
        <v>1369</v>
      </c>
      <c r="C11" s="105">
        <f>SUM(C6:C10)</f>
        <v>570</v>
      </c>
      <c r="D11" s="105">
        <f>SUM(D6:D10)</f>
        <v>1977</v>
      </c>
      <c r="E11" s="105">
        <f>SUM(E6:E10)</f>
        <v>1882</v>
      </c>
      <c r="F11" s="105">
        <f>SUM(F6:F10)</f>
        <v>665</v>
      </c>
      <c r="G11" s="102">
        <f t="shared" ref="G11:M11" si="2">SUM(G6:G10)</f>
        <v>6463</v>
      </c>
      <c r="H11" s="111">
        <f>SUM(H6:H10)</f>
        <v>2</v>
      </c>
      <c r="I11" s="111">
        <f>SUM(I6:I10)</f>
        <v>6</v>
      </c>
      <c r="J11" s="111">
        <f t="shared" si="2"/>
        <v>4</v>
      </c>
      <c r="K11" s="111">
        <f t="shared" si="2"/>
        <v>3</v>
      </c>
      <c r="L11" s="111">
        <f t="shared" si="2"/>
        <v>0</v>
      </c>
      <c r="M11" s="103">
        <f t="shared" si="2"/>
        <v>15</v>
      </c>
      <c r="N11" s="104">
        <f t="shared" ref="N11:N43" si="3">M11*100/G11</f>
        <v>0.23209036051369333</v>
      </c>
      <c r="O11" s="105">
        <f>SUM(O6:O10)</f>
        <v>5</v>
      </c>
      <c r="P11" s="105">
        <f t="shared" ref="P11:T11" si="4">SUM(P6:P10)</f>
        <v>9</v>
      </c>
      <c r="Q11" s="105">
        <f t="shared" si="4"/>
        <v>11</v>
      </c>
      <c r="R11" s="105">
        <f>SUM(R6:R10)</f>
        <v>20</v>
      </c>
      <c r="S11" s="105">
        <f t="shared" si="4"/>
        <v>0</v>
      </c>
      <c r="T11" s="103">
        <f t="shared" si="4"/>
        <v>45</v>
      </c>
      <c r="U11" s="104">
        <f t="shared" si="0"/>
        <v>0.69627108154107997</v>
      </c>
      <c r="V11" s="105">
        <f t="shared" ref="V11:AA11" si="5">SUM(V6:V10)</f>
        <v>2</v>
      </c>
      <c r="W11" s="105">
        <f t="shared" si="5"/>
        <v>3</v>
      </c>
      <c r="X11" s="105">
        <f t="shared" si="5"/>
        <v>30</v>
      </c>
      <c r="Y11" s="105">
        <f>SUM(Y6:Y10)</f>
        <v>2</v>
      </c>
      <c r="Z11" s="105">
        <f t="shared" si="5"/>
        <v>4</v>
      </c>
      <c r="AA11" s="106">
        <f t="shared" si="5"/>
        <v>41</v>
      </c>
      <c r="AB11" s="104">
        <f t="shared" si="1"/>
        <v>0.63438031873742839</v>
      </c>
      <c r="AC11" s="107">
        <f>SUM(AC6:AC10)</f>
        <v>9</v>
      </c>
      <c r="AD11" s="107">
        <f>SUM(AD6:AD10)</f>
        <v>4</v>
      </c>
      <c r="AE11" s="107">
        <f>SUM(AE6:AE10)</f>
        <v>151</v>
      </c>
    </row>
    <row r="12" spans="1:3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6" ht="14.4" thickBot="1" x14ac:dyDescent="0.3">
      <c r="A14" s="89" t="s">
        <v>4</v>
      </c>
      <c r="B14" s="97">
        <v>15</v>
      </c>
      <c r="C14" s="97">
        <v>4</v>
      </c>
      <c r="D14" s="97">
        <v>26</v>
      </c>
      <c r="E14" s="97">
        <v>27</v>
      </c>
      <c r="F14" s="97">
        <v>8</v>
      </c>
      <c r="G14" s="98">
        <f>SUM(B14:F14)</f>
        <v>80</v>
      </c>
      <c r="H14" s="97">
        <v>0</v>
      </c>
      <c r="I14" s="97">
        <f>Detmold14!C14</f>
        <v>0</v>
      </c>
      <c r="J14" s="97">
        <f>Düsseldorf14!C14</f>
        <v>0</v>
      </c>
      <c r="K14" s="97">
        <v>0</v>
      </c>
      <c r="L14" s="97">
        <f>Münster14!C14</f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f>SUM(O14:S14)</f>
        <v>0</v>
      </c>
      <c r="U14" s="99">
        <f t="shared" si="0"/>
        <v>0</v>
      </c>
      <c r="V14" s="97">
        <v>0</v>
      </c>
      <c r="W14" s="97">
        <f>Detmold14!E14</f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 t="shared" si="1"/>
        <v>0</v>
      </c>
      <c r="AC14" s="101">
        <f>Arnsberg14!F14+Detmold14!F14+Düsseldorf14!F14+Kölle14!F14+Münster14!F14</f>
        <v>0</v>
      </c>
      <c r="AD14" s="101">
        <v>0</v>
      </c>
      <c r="AE14" s="101">
        <v>0</v>
      </c>
    </row>
    <row r="15" spans="1:36" ht="14.4" thickBot="1" x14ac:dyDescent="0.3">
      <c r="A15" s="89" t="s">
        <v>5</v>
      </c>
      <c r="B15" s="97">
        <v>197</v>
      </c>
      <c r="C15" s="97">
        <v>63</v>
      </c>
      <c r="D15" s="97">
        <v>310</v>
      </c>
      <c r="E15" s="97">
        <v>357</v>
      </c>
      <c r="F15" s="97">
        <v>115</v>
      </c>
      <c r="G15" s="98">
        <f t="shared" ref="G15:G24" si="6">SUM(B15:F15)</f>
        <v>1042</v>
      </c>
      <c r="H15" s="97">
        <v>1</v>
      </c>
      <c r="I15" s="97">
        <f>Detmold14!C15</f>
        <v>0</v>
      </c>
      <c r="J15" s="97">
        <v>0</v>
      </c>
      <c r="K15" s="97">
        <v>3</v>
      </c>
      <c r="L15" s="97">
        <v>0</v>
      </c>
      <c r="M15" s="97">
        <f>SUM(H15:L15)</f>
        <v>4</v>
      </c>
      <c r="N15" s="99">
        <f t="shared" si="3"/>
        <v>0.38387715930902111</v>
      </c>
      <c r="O15" s="97">
        <v>3</v>
      </c>
      <c r="P15" s="97">
        <v>0</v>
      </c>
      <c r="Q15" s="97">
        <v>3</v>
      </c>
      <c r="R15" s="97">
        <v>3</v>
      </c>
      <c r="S15" s="97">
        <v>0</v>
      </c>
      <c r="T15" s="97">
        <f>SUM(O15:S15)</f>
        <v>9</v>
      </c>
      <c r="U15" s="99">
        <f t="shared" si="0"/>
        <v>0.8637236084452975</v>
      </c>
      <c r="V15" s="97">
        <v>1</v>
      </c>
      <c r="W15" s="97">
        <f>Detmold14!E15</f>
        <v>0</v>
      </c>
      <c r="X15" s="97">
        <v>0</v>
      </c>
      <c r="Y15" s="97">
        <v>1</v>
      </c>
      <c r="Z15" s="97">
        <f>Münster14!E15</f>
        <v>0</v>
      </c>
      <c r="AA15" s="97">
        <f>SUM(V15:Z15)</f>
        <v>2</v>
      </c>
      <c r="AB15" s="99">
        <f t="shared" si="1"/>
        <v>0.19193857965451055</v>
      </c>
      <c r="AC15" s="101">
        <v>0</v>
      </c>
      <c r="AD15" s="101">
        <f>0+0+1+0+1</f>
        <v>2</v>
      </c>
      <c r="AE15" s="101">
        <f>5+1+15+9+5</f>
        <v>35</v>
      </c>
    </row>
    <row r="16" spans="1:36" ht="14.4" thickBot="1" x14ac:dyDescent="0.3">
      <c r="A16" s="89" t="s">
        <v>6</v>
      </c>
      <c r="B16" s="109">
        <v>33</v>
      </c>
      <c r="C16" s="97">
        <v>19</v>
      </c>
      <c r="D16" s="97">
        <v>75</v>
      </c>
      <c r="E16" s="97">
        <v>60</v>
      </c>
      <c r="F16" s="97">
        <v>25</v>
      </c>
      <c r="G16" s="98">
        <f t="shared" si="6"/>
        <v>212</v>
      </c>
      <c r="H16" s="97">
        <v>0</v>
      </c>
      <c r="I16" s="97">
        <f>Detmold14!C16</f>
        <v>0</v>
      </c>
      <c r="J16" s="97">
        <f>Düsseldorf14!C16</f>
        <v>0</v>
      </c>
      <c r="K16" s="97">
        <v>0</v>
      </c>
      <c r="L16" s="97">
        <f>Münster14!C16</f>
        <v>0</v>
      </c>
      <c r="M16" s="101">
        <f t="shared" ref="M16:M20" si="7">SUM(H16:L16)</f>
        <v>0</v>
      </c>
      <c r="N16" s="99">
        <f t="shared" si="3"/>
        <v>0</v>
      </c>
      <c r="O16" s="97">
        <v>0</v>
      </c>
      <c r="P16" s="97">
        <v>0</v>
      </c>
      <c r="Q16" s="97">
        <v>1</v>
      </c>
      <c r="R16" s="97">
        <v>3</v>
      </c>
      <c r="S16" s="97">
        <f>Münster14!D16</f>
        <v>0</v>
      </c>
      <c r="T16" s="97">
        <f>SUM(O16:S16)</f>
        <v>4</v>
      </c>
      <c r="U16" s="99">
        <f t="shared" si="0"/>
        <v>1.8867924528301887</v>
      </c>
      <c r="V16" s="97">
        <f>Arnsberg14!E16</f>
        <v>0</v>
      </c>
      <c r="W16" s="97">
        <f>Detmold14!E16</f>
        <v>0</v>
      </c>
      <c r="X16" s="97">
        <v>0</v>
      </c>
      <c r="Y16" s="97">
        <v>0</v>
      </c>
      <c r="Z16" s="97">
        <v>0</v>
      </c>
      <c r="AA16" s="97">
        <f>SUM(V16:Z16)</f>
        <v>0</v>
      </c>
      <c r="AB16" s="99">
        <f t="shared" si="1"/>
        <v>0</v>
      </c>
      <c r="AC16" s="101">
        <f>Arnsberg14!F16+Detmold14!F16+Düsseldorf14!F16+Kölle14!F16+Münster14!F16</f>
        <v>0</v>
      </c>
      <c r="AD16" s="101">
        <v>0</v>
      </c>
      <c r="AE16" s="101">
        <v>0</v>
      </c>
    </row>
    <row r="17" spans="1:34" ht="14.4" thickBot="1" x14ac:dyDescent="0.3">
      <c r="A17" s="89" t="s">
        <v>7</v>
      </c>
      <c r="B17" s="97">
        <v>26</v>
      </c>
      <c r="C17" s="97">
        <v>5</v>
      </c>
      <c r="D17" s="97">
        <v>39</v>
      </c>
      <c r="E17" s="97">
        <v>14</v>
      </c>
      <c r="F17" s="97">
        <v>26</v>
      </c>
      <c r="G17" s="98">
        <f t="shared" si="6"/>
        <v>110</v>
      </c>
      <c r="H17" s="97">
        <v>0</v>
      </c>
      <c r="I17" s="97">
        <f>Detmold14!C17</f>
        <v>0</v>
      </c>
      <c r="J17" s="97">
        <v>0</v>
      </c>
      <c r="K17" s="97">
        <v>0</v>
      </c>
      <c r="L17" s="97">
        <f>Münster14!C17</f>
        <v>0</v>
      </c>
      <c r="M17" s="97">
        <f>SUM(H17:L17)</f>
        <v>0</v>
      </c>
      <c r="N17" s="99">
        <f t="shared" si="3"/>
        <v>0</v>
      </c>
      <c r="O17" s="97">
        <v>0</v>
      </c>
      <c r="P17" s="97">
        <v>0</v>
      </c>
      <c r="Q17" s="97">
        <v>0</v>
      </c>
      <c r="R17" s="97">
        <v>0</v>
      </c>
      <c r="S17" s="97">
        <f>Münster14!D17</f>
        <v>0</v>
      </c>
      <c r="T17" s="97">
        <f>SUM(O17:S17)</f>
        <v>0</v>
      </c>
      <c r="U17" s="99">
        <f t="shared" si="0"/>
        <v>0</v>
      </c>
      <c r="V17" s="97">
        <f>Arnsberg14!E17</f>
        <v>0</v>
      </c>
      <c r="W17" s="97">
        <f>Detmold14!E17</f>
        <v>0</v>
      </c>
      <c r="X17" s="97">
        <v>0</v>
      </c>
      <c r="Y17" s="97">
        <v>0</v>
      </c>
      <c r="Z17" s="97">
        <f>Münster14!E17</f>
        <v>0</v>
      </c>
      <c r="AA17" s="101">
        <f t="shared" ref="AA17:AA20" si="8">SUM(V17:Z17)</f>
        <v>0</v>
      </c>
      <c r="AB17" s="99">
        <f t="shared" si="1"/>
        <v>0</v>
      </c>
      <c r="AC17" s="101">
        <f>Arnsberg14!F17+Detmold14!F17+Düsseldorf14!F17+Kölle14!F17+Münster14!F17</f>
        <v>0</v>
      </c>
      <c r="AD17" s="101">
        <v>0</v>
      </c>
      <c r="AE17" s="101">
        <f>0+0+1+2+0</f>
        <v>3</v>
      </c>
    </row>
    <row r="18" spans="1:34" ht="14.4" thickBot="1" x14ac:dyDescent="0.3">
      <c r="A18" s="89" t="s">
        <v>8</v>
      </c>
      <c r="B18" s="97">
        <v>7</v>
      </c>
      <c r="C18" s="97">
        <v>3</v>
      </c>
      <c r="D18" s="97">
        <v>6</v>
      </c>
      <c r="E18" s="97">
        <v>9</v>
      </c>
      <c r="F18" s="97">
        <v>3</v>
      </c>
      <c r="G18" s="98">
        <f t="shared" si="6"/>
        <v>28</v>
      </c>
      <c r="H18" s="97">
        <v>0</v>
      </c>
      <c r="I18" s="97">
        <f>Detmold14!C18</f>
        <v>0</v>
      </c>
      <c r="J18" s="97">
        <f>Düsseldorf14!C18</f>
        <v>0</v>
      </c>
      <c r="K18" s="97">
        <v>0</v>
      </c>
      <c r="L18" s="97">
        <f>Münster14!C18</f>
        <v>0</v>
      </c>
      <c r="M18" s="97">
        <f>SUM(H18:L18)</f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f>Münster14!D18</f>
        <v>0</v>
      </c>
      <c r="T18" s="101">
        <f t="shared" ref="T18:T20" si="9">SUM(O18:S18)</f>
        <v>0</v>
      </c>
      <c r="U18" s="99">
        <f t="shared" si="0"/>
        <v>0</v>
      </c>
      <c r="V18" s="97">
        <v>0</v>
      </c>
      <c r="W18" s="97">
        <f>Detmold14!E18</f>
        <v>0</v>
      </c>
      <c r="X18" s="97">
        <v>0</v>
      </c>
      <c r="Y18" s="97">
        <v>0</v>
      </c>
      <c r="Z18" s="97">
        <f>Münster14!E18</f>
        <v>0</v>
      </c>
      <c r="AA18" s="97">
        <f>SUM(V18:Z18)</f>
        <v>0</v>
      </c>
      <c r="AB18" s="99">
        <f t="shared" si="1"/>
        <v>0</v>
      </c>
      <c r="AC18" s="101">
        <f>Arnsberg14!F18+Detmold14!F18+Düsseldorf14!F18+Kölle14!F18+Münster14!F18</f>
        <v>0</v>
      </c>
      <c r="AD18" s="101">
        <v>0</v>
      </c>
      <c r="AE18" s="101">
        <v>0</v>
      </c>
    </row>
    <row r="19" spans="1:34" ht="14.4" thickBot="1" x14ac:dyDescent="0.3">
      <c r="A19" s="89" t="s">
        <v>9</v>
      </c>
      <c r="B19" s="97">
        <v>11</v>
      </c>
      <c r="C19" s="97">
        <v>5</v>
      </c>
      <c r="D19" s="97">
        <v>22</v>
      </c>
      <c r="E19" s="97">
        <v>8</v>
      </c>
      <c r="F19" s="97">
        <v>4</v>
      </c>
      <c r="G19" s="98">
        <f t="shared" si="6"/>
        <v>50</v>
      </c>
      <c r="H19" s="97">
        <v>0</v>
      </c>
      <c r="I19" s="97">
        <f>Detmold14!C19</f>
        <v>0</v>
      </c>
      <c r="J19" s="97">
        <v>0</v>
      </c>
      <c r="K19" s="97">
        <v>0</v>
      </c>
      <c r="L19" s="97">
        <f>Münster14!C19</f>
        <v>0</v>
      </c>
      <c r="M19" s="101">
        <f t="shared" si="7"/>
        <v>0</v>
      </c>
      <c r="N19" s="99">
        <f t="shared" si="3"/>
        <v>0</v>
      </c>
      <c r="O19" s="97">
        <v>0</v>
      </c>
      <c r="P19" s="97">
        <v>0</v>
      </c>
      <c r="Q19" s="97">
        <v>0</v>
      </c>
      <c r="R19" s="97">
        <v>0</v>
      </c>
      <c r="S19" s="97">
        <f>Münster14!D19</f>
        <v>0</v>
      </c>
      <c r="T19" s="101">
        <f t="shared" si="9"/>
        <v>0</v>
      </c>
      <c r="U19" s="99">
        <f t="shared" si="0"/>
        <v>0</v>
      </c>
      <c r="V19" s="97">
        <f>Arnsberg14!E19</f>
        <v>0</v>
      </c>
      <c r="W19" s="97">
        <f>Detmold14!E19</f>
        <v>0</v>
      </c>
      <c r="X19" s="97">
        <f>Düsseldorf14!E19</f>
        <v>0</v>
      </c>
      <c r="Y19" s="97">
        <f>Kölle14!E19</f>
        <v>0</v>
      </c>
      <c r="Z19" s="97">
        <f>Münster14!E19</f>
        <v>0</v>
      </c>
      <c r="AA19" s="101">
        <f t="shared" si="8"/>
        <v>0</v>
      </c>
      <c r="AB19" s="99">
        <f t="shared" si="1"/>
        <v>0</v>
      </c>
      <c r="AC19" s="101">
        <f>Arnsberg14!F19+Detmold14!F19+Düsseldorf14!F19+Kölle14!F19+Münster14!F19</f>
        <v>0</v>
      </c>
      <c r="AD19" s="101">
        <v>0</v>
      </c>
      <c r="AE19" s="101">
        <v>0</v>
      </c>
    </row>
    <row r="20" spans="1:34" ht="14.4" thickBot="1" x14ac:dyDescent="0.3">
      <c r="A20" s="89" t="s">
        <v>10</v>
      </c>
      <c r="B20" s="97">
        <v>7</v>
      </c>
      <c r="C20" s="97">
        <v>3</v>
      </c>
      <c r="D20" s="97">
        <v>9</v>
      </c>
      <c r="E20" s="97">
        <v>14</v>
      </c>
      <c r="F20" s="97">
        <v>1</v>
      </c>
      <c r="G20" s="98">
        <f t="shared" si="6"/>
        <v>34</v>
      </c>
      <c r="H20" s="97">
        <v>0</v>
      </c>
      <c r="I20" s="97">
        <f>Detmold14!C20</f>
        <v>0</v>
      </c>
      <c r="J20" s="97">
        <f>Düsseldorf14!C20</f>
        <v>0</v>
      </c>
      <c r="K20" s="97">
        <v>0</v>
      </c>
      <c r="L20" s="97">
        <f>Münster14!C20</f>
        <v>0</v>
      </c>
      <c r="M20" s="101">
        <f t="shared" si="7"/>
        <v>0</v>
      </c>
      <c r="N20" s="99">
        <f t="shared" si="3"/>
        <v>0</v>
      </c>
      <c r="O20" s="97">
        <v>0</v>
      </c>
      <c r="P20" s="97">
        <v>0</v>
      </c>
      <c r="Q20" s="97">
        <v>0</v>
      </c>
      <c r="R20" s="97">
        <v>0</v>
      </c>
      <c r="S20" s="97">
        <f>Münster14!D20</f>
        <v>0</v>
      </c>
      <c r="T20" s="101">
        <f t="shared" si="9"/>
        <v>0</v>
      </c>
      <c r="U20" s="99">
        <f t="shared" si="0"/>
        <v>0</v>
      </c>
      <c r="V20" s="97">
        <f>Arnsberg14!E20</f>
        <v>0</v>
      </c>
      <c r="W20" s="97">
        <f>Detmold14!E20</f>
        <v>0</v>
      </c>
      <c r="X20" s="97">
        <f>Düsseldorf14!E20</f>
        <v>0</v>
      </c>
      <c r="Y20" s="97">
        <v>1</v>
      </c>
      <c r="Z20" s="97">
        <f>Münster14!E20</f>
        <v>0</v>
      </c>
      <c r="AA20" s="101">
        <f t="shared" si="8"/>
        <v>1</v>
      </c>
      <c r="AB20" s="99">
        <f t="shared" si="1"/>
        <v>2.9411764705882355</v>
      </c>
      <c r="AC20" s="101">
        <f>Arnsberg14!F20+Detmold14!F20+Düsseldorf14!F20+Kölle14!F20+Münster14!F20</f>
        <v>0</v>
      </c>
      <c r="AD20" s="101">
        <v>0</v>
      </c>
      <c r="AE20" s="101">
        <v>0</v>
      </c>
    </row>
    <row r="21" spans="1:34" ht="14.4" thickBot="1" x14ac:dyDescent="0.3">
      <c r="A21" s="89" t="s">
        <v>11</v>
      </c>
      <c r="B21" s="97">
        <v>94</v>
      </c>
      <c r="C21" s="97">
        <v>18</v>
      </c>
      <c r="D21" s="97">
        <v>125</v>
      </c>
      <c r="E21" s="97">
        <v>158</v>
      </c>
      <c r="F21" s="97">
        <v>49</v>
      </c>
      <c r="G21" s="98">
        <f t="shared" si="6"/>
        <v>444</v>
      </c>
      <c r="H21" s="97">
        <v>0</v>
      </c>
      <c r="I21" s="97">
        <f>Detmold14!C21</f>
        <v>0</v>
      </c>
      <c r="J21" s="97">
        <v>0</v>
      </c>
      <c r="K21" s="97">
        <v>0</v>
      </c>
      <c r="L21" s="97">
        <v>0</v>
      </c>
      <c r="M21" s="97">
        <f>SUM(H21:L21)</f>
        <v>0</v>
      </c>
      <c r="N21" s="99">
        <f t="shared" si="3"/>
        <v>0</v>
      </c>
      <c r="O21" s="97">
        <v>3</v>
      </c>
      <c r="P21" s="97">
        <v>0</v>
      </c>
      <c r="Q21" s="97">
        <v>1</v>
      </c>
      <c r="R21" s="97">
        <v>2</v>
      </c>
      <c r="S21" s="97">
        <v>1</v>
      </c>
      <c r="T21" s="97">
        <f>SUM(O21:S21)</f>
        <v>7</v>
      </c>
      <c r="U21" s="99">
        <f t="shared" si="0"/>
        <v>1.5765765765765767</v>
      </c>
      <c r="V21" s="97">
        <v>1</v>
      </c>
      <c r="W21" s="97">
        <f>Detmold14!E21</f>
        <v>0</v>
      </c>
      <c r="X21" s="97">
        <v>0</v>
      </c>
      <c r="Y21" s="97">
        <v>2</v>
      </c>
      <c r="Z21" s="97">
        <v>0</v>
      </c>
      <c r="AA21" s="97">
        <f>SUM(V21:Z21)</f>
        <v>3</v>
      </c>
      <c r="AB21" s="99">
        <f t="shared" si="1"/>
        <v>0.67567567567567566</v>
      </c>
      <c r="AC21" s="101">
        <v>1</v>
      </c>
      <c r="AD21" s="101">
        <v>0</v>
      </c>
      <c r="AE21" s="101">
        <f>9+0+8+2+0</f>
        <v>19</v>
      </c>
    </row>
    <row r="22" spans="1:34" ht="14.4" thickBot="1" x14ac:dyDescent="0.3">
      <c r="A22" s="89" t="s">
        <v>12</v>
      </c>
      <c r="B22" s="97">
        <v>873</v>
      </c>
      <c r="C22" s="97">
        <v>440</v>
      </c>
      <c r="D22" s="97">
        <v>1570</v>
      </c>
      <c r="E22" s="97">
        <v>1282</v>
      </c>
      <c r="F22" s="97">
        <v>549</v>
      </c>
      <c r="G22" s="98">
        <f t="shared" si="6"/>
        <v>4714</v>
      </c>
      <c r="H22" s="97">
        <v>4</v>
      </c>
      <c r="I22" s="97">
        <v>1</v>
      </c>
      <c r="J22" s="97">
        <v>10</v>
      </c>
      <c r="K22" s="97">
        <v>6</v>
      </c>
      <c r="L22" s="97">
        <v>2</v>
      </c>
      <c r="M22" s="97">
        <f>SUM(H22:L22)</f>
        <v>23</v>
      </c>
      <c r="N22" s="99">
        <f t="shared" si="3"/>
        <v>0.48790835808230804</v>
      </c>
      <c r="O22" s="97">
        <v>6</v>
      </c>
      <c r="P22" s="97">
        <v>6</v>
      </c>
      <c r="Q22" s="97">
        <v>4</v>
      </c>
      <c r="R22" s="97">
        <v>5</v>
      </c>
      <c r="S22" s="97">
        <v>1</v>
      </c>
      <c r="T22" s="97">
        <f>SUM(O22:S22)</f>
        <v>22</v>
      </c>
      <c r="U22" s="99">
        <f t="shared" si="0"/>
        <v>0.46669495120916421</v>
      </c>
      <c r="V22" s="97">
        <v>9</v>
      </c>
      <c r="W22" s="97">
        <v>0</v>
      </c>
      <c r="X22" s="97">
        <v>4</v>
      </c>
      <c r="Y22" s="97">
        <v>2</v>
      </c>
      <c r="Z22" s="97">
        <v>2</v>
      </c>
      <c r="AA22" s="97">
        <f>SUM(V22:Z22)</f>
        <v>17</v>
      </c>
      <c r="AB22" s="99">
        <f t="shared" si="1"/>
        <v>0.36062791684344508</v>
      </c>
      <c r="AC22" s="101">
        <v>6</v>
      </c>
      <c r="AD22" s="101">
        <f>0+1+0+0+3</f>
        <v>4</v>
      </c>
      <c r="AE22" s="101">
        <f>14+7+38+8+3</f>
        <v>70</v>
      </c>
    </row>
    <row r="23" spans="1:34" ht="14.4" thickBot="1" x14ac:dyDescent="0.3">
      <c r="A23" s="89" t="s">
        <v>13</v>
      </c>
      <c r="B23" s="97">
        <v>4</v>
      </c>
      <c r="C23" s="97">
        <v>15</v>
      </c>
      <c r="D23" s="97">
        <v>7</v>
      </c>
      <c r="E23" s="97">
        <v>2</v>
      </c>
      <c r="F23" s="97">
        <v>9</v>
      </c>
      <c r="G23" s="98">
        <f t="shared" si="6"/>
        <v>37</v>
      </c>
      <c r="H23" s="97">
        <v>0</v>
      </c>
      <c r="I23" s="97">
        <f>Detmold14!C23</f>
        <v>0</v>
      </c>
      <c r="J23" s="97">
        <f>Düsseldorf14!C23</f>
        <v>0</v>
      </c>
      <c r="K23" s="97">
        <f>Kölle14!C23</f>
        <v>0</v>
      </c>
      <c r="L23" s="97">
        <f>Münster14!C23</f>
        <v>0</v>
      </c>
      <c r="M23" s="97">
        <f>SUM(H23:L23)</f>
        <v>0</v>
      </c>
      <c r="N23" s="99">
        <f t="shared" si="3"/>
        <v>0</v>
      </c>
      <c r="O23" s="97">
        <v>0</v>
      </c>
      <c r="P23" s="97">
        <v>0</v>
      </c>
      <c r="Q23" s="97">
        <v>0</v>
      </c>
      <c r="R23" s="97">
        <v>0</v>
      </c>
      <c r="S23" s="97">
        <f>Münster14!D23</f>
        <v>0</v>
      </c>
      <c r="T23" s="97">
        <f>SUM(O23:S23)</f>
        <v>0</v>
      </c>
      <c r="U23" s="99">
        <f t="shared" si="0"/>
        <v>0</v>
      </c>
      <c r="V23" s="97">
        <v>0</v>
      </c>
      <c r="W23" s="97">
        <f>Detmold14!E23</f>
        <v>0</v>
      </c>
      <c r="X23" s="97">
        <v>0</v>
      </c>
      <c r="Y23" s="97">
        <v>0</v>
      </c>
      <c r="Z23" s="97">
        <f>Münster14!E23</f>
        <v>0</v>
      </c>
      <c r="AA23" s="97">
        <f>SUM(V23:Z23)</f>
        <v>0</v>
      </c>
      <c r="AB23" s="99">
        <f t="shared" si="1"/>
        <v>0</v>
      </c>
      <c r="AC23" s="101">
        <v>0</v>
      </c>
      <c r="AD23" s="101">
        <v>0</v>
      </c>
      <c r="AE23" s="101">
        <v>0</v>
      </c>
    </row>
    <row r="24" spans="1:34" ht="23.4" thickBot="1" x14ac:dyDescent="0.3">
      <c r="A24" s="139" t="s">
        <v>23</v>
      </c>
      <c r="B24" s="110">
        <v>505</v>
      </c>
      <c r="C24" s="110">
        <v>201</v>
      </c>
      <c r="D24" s="97">
        <v>616</v>
      </c>
      <c r="E24" s="110">
        <v>741</v>
      </c>
      <c r="F24" s="97">
        <v>282</v>
      </c>
      <c r="G24" s="98">
        <f t="shared" si="6"/>
        <v>2345</v>
      </c>
      <c r="H24" s="110">
        <v>1</v>
      </c>
      <c r="I24" s="97">
        <v>0</v>
      </c>
      <c r="J24" s="97">
        <v>1</v>
      </c>
      <c r="K24" s="97">
        <v>1</v>
      </c>
      <c r="L24" s="97">
        <v>0</v>
      </c>
      <c r="M24" s="97">
        <f>SUM(H24:L24)</f>
        <v>3</v>
      </c>
      <c r="N24" s="99">
        <f t="shared" si="3"/>
        <v>0.1279317697228145</v>
      </c>
      <c r="O24" s="110">
        <v>0</v>
      </c>
      <c r="P24" s="97">
        <v>1</v>
      </c>
      <c r="Q24" s="110">
        <v>0</v>
      </c>
      <c r="R24" s="110">
        <v>7</v>
      </c>
      <c r="S24" s="97">
        <v>1</v>
      </c>
      <c r="T24" s="97">
        <f>SUM(O24:S24)</f>
        <v>9</v>
      </c>
      <c r="U24" s="99">
        <f t="shared" si="0"/>
        <v>0.38379530916844351</v>
      </c>
      <c r="V24" s="110">
        <v>0</v>
      </c>
      <c r="W24" s="110">
        <v>0</v>
      </c>
      <c r="X24" s="110">
        <v>0</v>
      </c>
      <c r="Y24" s="110">
        <v>14</v>
      </c>
      <c r="Z24" s="110">
        <f>Münster14!E24</f>
        <v>0</v>
      </c>
      <c r="AA24" s="97">
        <f>SUM(V24:Z24)</f>
        <v>14</v>
      </c>
      <c r="AB24" s="99">
        <f t="shared" si="1"/>
        <v>0.59701492537313428</v>
      </c>
      <c r="AC24" s="101">
        <v>0</v>
      </c>
      <c r="AD24" s="101">
        <v>1</v>
      </c>
      <c r="AE24" s="101">
        <f>0+7+7+2+14</f>
        <v>30</v>
      </c>
    </row>
    <row r="25" spans="1:34" s="132" customFormat="1" ht="14.4" thickBot="1" x14ac:dyDescent="0.3">
      <c r="A25" s="128" t="s">
        <v>22</v>
      </c>
      <c r="B25" s="111">
        <f t="shared" ref="B25:I25" si="10">SUM(B14:B24)</f>
        <v>1772</v>
      </c>
      <c r="C25" s="111">
        <f t="shared" si="10"/>
        <v>776</v>
      </c>
      <c r="D25" s="111">
        <f t="shared" si="10"/>
        <v>2805</v>
      </c>
      <c r="E25" s="111">
        <f t="shared" si="10"/>
        <v>2672</v>
      </c>
      <c r="F25" s="111">
        <f t="shared" si="10"/>
        <v>1071</v>
      </c>
      <c r="G25" s="102">
        <f t="shared" si="10"/>
        <v>9096</v>
      </c>
      <c r="H25" s="111">
        <f t="shared" si="10"/>
        <v>6</v>
      </c>
      <c r="I25" s="111">
        <f t="shared" si="10"/>
        <v>1</v>
      </c>
      <c r="J25" s="111">
        <f>SUM(J14:J24)</f>
        <v>11</v>
      </c>
      <c r="K25" s="111">
        <f t="shared" ref="K25:L25" si="11">SUM(K14:K24)</f>
        <v>10</v>
      </c>
      <c r="L25" s="111">
        <f t="shared" si="11"/>
        <v>2</v>
      </c>
      <c r="M25" s="103">
        <f>SUM(M14:M24)</f>
        <v>30</v>
      </c>
      <c r="N25" s="104">
        <f t="shared" si="3"/>
        <v>0.32981530343007914</v>
      </c>
      <c r="O25" s="111">
        <f t="shared" ref="O25:T25" si="12">SUM(O14:O24)</f>
        <v>12</v>
      </c>
      <c r="P25" s="111">
        <f t="shared" si="12"/>
        <v>7</v>
      </c>
      <c r="Q25" s="111">
        <f t="shared" si="12"/>
        <v>9</v>
      </c>
      <c r="R25" s="111">
        <f>SUM(R14:R24)</f>
        <v>20</v>
      </c>
      <c r="S25" s="111">
        <f t="shared" si="12"/>
        <v>3</v>
      </c>
      <c r="T25" s="103">
        <f t="shared" si="12"/>
        <v>51</v>
      </c>
      <c r="U25" s="104">
        <f t="shared" si="0"/>
        <v>0.56068601583113453</v>
      </c>
      <c r="V25" s="111">
        <f t="shared" ref="V25:AA25" si="13">SUM(V14:V24)</f>
        <v>11</v>
      </c>
      <c r="W25" s="111">
        <f t="shared" si="13"/>
        <v>0</v>
      </c>
      <c r="X25" s="111">
        <f t="shared" si="13"/>
        <v>4</v>
      </c>
      <c r="Y25" s="111">
        <f t="shared" si="13"/>
        <v>20</v>
      </c>
      <c r="Z25" s="111">
        <f t="shared" si="13"/>
        <v>2</v>
      </c>
      <c r="AA25" s="103">
        <f t="shared" si="13"/>
        <v>37</v>
      </c>
      <c r="AB25" s="104">
        <f t="shared" si="1"/>
        <v>0.40677220756376431</v>
      </c>
      <c r="AC25" s="107">
        <f>SUM(AC14:AC24)</f>
        <v>7</v>
      </c>
      <c r="AD25" s="107">
        <f>SUM(AD14:AD24)</f>
        <v>7</v>
      </c>
      <c r="AE25" s="107">
        <f>SUM(AE14:AE24)</f>
        <v>157</v>
      </c>
    </row>
    <row r="26" spans="1:34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4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4" ht="14.4" thickBot="1" x14ac:dyDescent="0.3">
      <c r="A28" s="89" t="s">
        <v>15</v>
      </c>
      <c r="B28" s="97">
        <v>2806</v>
      </c>
      <c r="C28" s="97">
        <v>1776</v>
      </c>
      <c r="D28" s="97">
        <v>3528</v>
      </c>
      <c r="E28" s="97">
        <v>3278</v>
      </c>
      <c r="F28" s="97">
        <v>2818</v>
      </c>
      <c r="G28" s="98">
        <f>SUM(B28:F28)</f>
        <v>14206</v>
      </c>
      <c r="H28" s="97">
        <v>1</v>
      </c>
      <c r="I28" s="97">
        <v>0</v>
      </c>
      <c r="J28" s="97">
        <v>3</v>
      </c>
      <c r="K28" s="97">
        <v>1</v>
      </c>
      <c r="L28" s="97">
        <v>3</v>
      </c>
      <c r="M28" s="97">
        <f t="shared" ref="M28:M36" si="14">SUM(H28:L28)</f>
        <v>8</v>
      </c>
      <c r="N28" s="99">
        <f t="shared" si="3"/>
        <v>5.6314233422497535E-2</v>
      </c>
      <c r="O28" s="97">
        <v>3</v>
      </c>
      <c r="P28" s="97">
        <v>1</v>
      </c>
      <c r="Q28" s="97">
        <v>1</v>
      </c>
      <c r="R28" s="97">
        <v>4</v>
      </c>
      <c r="S28" s="97">
        <v>3</v>
      </c>
      <c r="T28" s="97">
        <f>SUM(O28:S28)</f>
        <v>12</v>
      </c>
      <c r="U28" s="99">
        <f t="shared" si="0"/>
        <v>8.4471350133746306E-2</v>
      </c>
      <c r="V28" s="97">
        <v>1</v>
      </c>
      <c r="W28" s="97">
        <v>0</v>
      </c>
      <c r="X28" s="97">
        <v>3</v>
      </c>
      <c r="Y28" s="97">
        <v>0</v>
      </c>
      <c r="Z28" s="97">
        <v>2</v>
      </c>
      <c r="AA28" s="97">
        <f t="shared" ref="AA28:AA36" si="15">SUM(V28:Z28)</f>
        <v>6</v>
      </c>
      <c r="AB28" s="99">
        <f t="shared" si="1"/>
        <v>4.2235675066873153E-2</v>
      </c>
      <c r="AC28" s="101">
        <v>1</v>
      </c>
      <c r="AD28" s="101">
        <f>0+0+0+0+0</f>
        <v>0</v>
      </c>
      <c r="AE28" s="101">
        <f>6+2+19+6+5</f>
        <v>38</v>
      </c>
    </row>
    <row r="29" spans="1:34" ht="14.4" thickBot="1" x14ac:dyDescent="0.3">
      <c r="A29" s="89" t="s">
        <v>16</v>
      </c>
      <c r="B29" s="97">
        <v>1113</v>
      </c>
      <c r="C29" s="97">
        <v>771</v>
      </c>
      <c r="D29" s="97">
        <v>1643</v>
      </c>
      <c r="E29" s="97">
        <v>1417</v>
      </c>
      <c r="F29" s="97">
        <v>938</v>
      </c>
      <c r="G29" s="98">
        <f t="shared" ref="G29:G36" si="16">SUM(B29:F29)</f>
        <v>5882</v>
      </c>
      <c r="H29" s="97">
        <v>0</v>
      </c>
      <c r="I29" s="97">
        <v>3</v>
      </c>
      <c r="J29" s="97">
        <v>6</v>
      </c>
      <c r="K29" s="97">
        <v>2</v>
      </c>
      <c r="L29" s="97">
        <v>2</v>
      </c>
      <c r="M29" s="97">
        <f t="shared" si="14"/>
        <v>13</v>
      </c>
      <c r="N29" s="99">
        <f t="shared" si="3"/>
        <v>0.22101326079564773</v>
      </c>
      <c r="O29" s="97">
        <v>3</v>
      </c>
      <c r="P29" s="97">
        <v>2</v>
      </c>
      <c r="Q29" s="97">
        <v>6</v>
      </c>
      <c r="R29" s="97">
        <v>5</v>
      </c>
      <c r="S29" s="97">
        <v>2</v>
      </c>
      <c r="T29" s="97">
        <f t="shared" ref="T29:T36" si="17">SUM(O29:S29)</f>
        <v>18</v>
      </c>
      <c r="U29" s="99">
        <f t="shared" si="0"/>
        <v>0.30601836110166608</v>
      </c>
      <c r="V29" s="97">
        <v>0</v>
      </c>
      <c r="W29" s="97">
        <v>0</v>
      </c>
      <c r="X29" s="97">
        <v>4</v>
      </c>
      <c r="Y29" s="97">
        <v>0</v>
      </c>
      <c r="Z29" s="97">
        <v>3</v>
      </c>
      <c r="AA29" s="97">
        <f t="shared" si="15"/>
        <v>7</v>
      </c>
      <c r="AB29" s="99">
        <f t="shared" si="1"/>
        <v>0.11900714042842571</v>
      </c>
      <c r="AC29" s="101">
        <f>0+6+0+1+3</f>
        <v>10</v>
      </c>
      <c r="AD29" s="101">
        <f>0+1+0+0+0</f>
        <v>1</v>
      </c>
      <c r="AE29" s="101">
        <f>2+9+12+4+6</f>
        <v>33</v>
      </c>
    </row>
    <row r="30" spans="1:34" ht="14.4" thickBot="1" x14ac:dyDescent="0.3">
      <c r="A30" s="89" t="s">
        <v>34</v>
      </c>
      <c r="B30" s="97">
        <v>850</v>
      </c>
      <c r="C30" s="97">
        <v>601</v>
      </c>
      <c r="D30" s="97">
        <v>863</v>
      </c>
      <c r="E30" s="97">
        <v>856</v>
      </c>
      <c r="F30" s="97">
        <v>1269</v>
      </c>
      <c r="G30" s="98">
        <f t="shared" si="16"/>
        <v>4439</v>
      </c>
      <c r="H30" s="97">
        <v>3</v>
      </c>
      <c r="I30" s="97">
        <v>3</v>
      </c>
      <c r="J30" s="97">
        <v>2</v>
      </c>
      <c r="K30" s="97">
        <v>3</v>
      </c>
      <c r="L30" s="97">
        <v>3</v>
      </c>
      <c r="M30" s="97">
        <f t="shared" si="14"/>
        <v>14</v>
      </c>
      <c r="N30" s="99">
        <f t="shared" si="3"/>
        <v>0.31538634827663886</v>
      </c>
      <c r="O30" s="97">
        <v>3</v>
      </c>
      <c r="P30" s="97">
        <v>3</v>
      </c>
      <c r="Q30" s="97">
        <v>5</v>
      </c>
      <c r="R30" s="97">
        <v>7</v>
      </c>
      <c r="S30" s="97">
        <v>3</v>
      </c>
      <c r="T30" s="97">
        <f t="shared" si="17"/>
        <v>21</v>
      </c>
      <c r="U30" s="99">
        <f t="shared" si="0"/>
        <v>0.47307952241495832</v>
      </c>
      <c r="V30" s="97">
        <v>0</v>
      </c>
      <c r="W30" s="97">
        <v>0</v>
      </c>
      <c r="X30" s="97">
        <v>2</v>
      </c>
      <c r="Y30" s="97">
        <v>0</v>
      </c>
      <c r="Z30" s="97">
        <v>1</v>
      </c>
      <c r="AA30" s="97">
        <f t="shared" si="15"/>
        <v>3</v>
      </c>
      <c r="AB30" s="99">
        <f t="shared" si="1"/>
        <v>6.7582788916422623E-2</v>
      </c>
      <c r="AC30" s="101">
        <f>1+0+0+0+0</f>
        <v>1</v>
      </c>
      <c r="AD30" s="101">
        <f>0+1+0+0+1</f>
        <v>2</v>
      </c>
      <c r="AE30" s="101">
        <f>2+7+5+6+5</f>
        <v>25</v>
      </c>
    </row>
    <row r="31" spans="1:34" ht="14.4" thickBot="1" x14ac:dyDescent="0.3">
      <c r="A31" s="89" t="s">
        <v>17</v>
      </c>
      <c r="B31" s="97">
        <v>6541</v>
      </c>
      <c r="C31" s="97">
        <v>3555</v>
      </c>
      <c r="D31" s="97">
        <v>8400</v>
      </c>
      <c r="E31" s="97">
        <v>7249</v>
      </c>
      <c r="F31" s="97">
        <v>5466</v>
      </c>
      <c r="G31" s="98">
        <f t="shared" si="16"/>
        <v>31211</v>
      </c>
      <c r="H31" s="97">
        <v>1</v>
      </c>
      <c r="I31" s="97">
        <v>1</v>
      </c>
      <c r="J31" s="97">
        <v>4</v>
      </c>
      <c r="K31" s="97">
        <v>1</v>
      </c>
      <c r="L31" s="97">
        <v>0</v>
      </c>
      <c r="M31" s="97">
        <f t="shared" si="14"/>
        <v>7</v>
      </c>
      <c r="N31" s="99">
        <f t="shared" si="3"/>
        <v>2.2427990131684342E-2</v>
      </c>
      <c r="O31" s="97">
        <v>7</v>
      </c>
      <c r="P31" s="97">
        <v>4</v>
      </c>
      <c r="Q31" s="97">
        <v>1</v>
      </c>
      <c r="R31" s="97">
        <v>6</v>
      </c>
      <c r="S31" s="97">
        <v>1</v>
      </c>
      <c r="T31" s="97">
        <f t="shared" si="17"/>
        <v>19</v>
      </c>
      <c r="U31" s="99">
        <f t="shared" si="0"/>
        <v>6.0875973214571784E-2</v>
      </c>
      <c r="V31" s="97">
        <v>3</v>
      </c>
      <c r="W31" s="97">
        <v>1</v>
      </c>
      <c r="X31" s="97">
        <v>2</v>
      </c>
      <c r="Y31" s="97">
        <v>2</v>
      </c>
      <c r="Z31" s="97">
        <v>1</v>
      </c>
      <c r="AA31" s="97">
        <f t="shared" si="15"/>
        <v>9</v>
      </c>
      <c r="AB31" s="99">
        <f t="shared" si="1"/>
        <v>2.8835987312165582E-2</v>
      </c>
      <c r="AC31" s="101">
        <f>1+2+0+1+0</f>
        <v>4</v>
      </c>
      <c r="AD31" s="101">
        <f>0+0+0+0+0</f>
        <v>0</v>
      </c>
      <c r="AE31" s="101">
        <f>13+11+41+18+3</f>
        <v>86</v>
      </c>
      <c r="AH31" t="s">
        <v>52</v>
      </c>
    </row>
    <row r="32" spans="1:34" ht="14.4" thickBot="1" x14ac:dyDescent="0.3">
      <c r="A32" s="89" t="s">
        <v>18</v>
      </c>
      <c r="B32" s="97">
        <v>1613</v>
      </c>
      <c r="C32" s="97">
        <v>1038</v>
      </c>
      <c r="D32" s="97">
        <v>1137</v>
      </c>
      <c r="E32" s="97">
        <v>1222</v>
      </c>
      <c r="F32" s="97">
        <v>2822</v>
      </c>
      <c r="G32" s="98">
        <f t="shared" si="16"/>
        <v>7832</v>
      </c>
      <c r="H32" s="97">
        <v>2</v>
      </c>
      <c r="I32" s="97">
        <v>2</v>
      </c>
      <c r="J32" s="97">
        <v>1</v>
      </c>
      <c r="K32" s="97">
        <v>1</v>
      </c>
      <c r="L32" s="97">
        <v>0</v>
      </c>
      <c r="M32" s="97">
        <f t="shared" si="14"/>
        <v>6</v>
      </c>
      <c r="N32" s="99">
        <f t="shared" si="3"/>
        <v>7.6608784473953015E-2</v>
      </c>
      <c r="O32" s="97">
        <v>2</v>
      </c>
      <c r="P32" s="97">
        <v>0</v>
      </c>
      <c r="Q32" s="97">
        <v>2</v>
      </c>
      <c r="R32" s="97">
        <v>2</v>
      </c>
      <c r="S32" s="97">
        <v>6</v>
      </c>
      <c r="T32" s="97">
        <f t="shared" si="17"/>
        <v>12</v>
      </c>
      <c r="U32" s="99">
        <f t="shared" si="0"/>
        <v>0.15321756894790603</v>
      </c>
      <c r="V32" s="97">
        <v>0</v>
      </c>
      <c r="W32" s="97">
        <v>0</v>
      </c>
      <c r="X32" s="97">
        <v>1</v>
      </c>
      <c r="Y32" s="97">
        <v>0</v>
      </c>
      <c r="Z32" s="97">
        <v>1</v>
      </c>
      <c r="AA32" s="97">
        <f t="shared" si="15"/>
        <v>2</v>
      </c>
      <c r="AB32" s="99">
        <f t="shared" si="1"/>
        <v>2.5536261491317672E-2</v>
      </c>
      <c r="AC32" s="101">
        <f>1+0+1+1+0</f>
        <v>3</v>
      </c>
      <c r="AD32" s="101">
        <f>0+0+0+0+0</f>
        <v>0</v>
      </c>
      <c r="AE32" s="101">
        <f>1+2+5+6+7</f>
        <v>21</v>
      </c>
    </row>
    <row r="33" spans="1:32" ht="14.4" thickBot="1" x14ac:dyDescent="0.3">
      <c r="A33" s="89" t="s">
        <v>19</v>
      </c>
      <c r="B33" s="97">
        <v>8709</v>
      </c>
      <c r="C33" s="97">
        <v>5599</v>
      </c>
      <c r="D33" s="97">
        <v>11190</v>
      </c>
      <c r="E33" s="97">
        <v>8905</v>
      </c>
      <c r="F33" s="97">
        <v>6364</v>
      </c>
      <c r="G33" s="98">
        <f t="shared" si="16"/>
        <v>40767</v>
      </c>
      <c r="H33" s="97">
        <v>27</v>
      </c>
      <c r="I33" s="97">
        <v>16</v>
      </c>
      <c r="J33" s="97">
        <v>34</v>
      </c>
      <c r="K33" s="97">
        <v>21</v>
      </c>
      <c r="L33" s="97">
        <v>17</v>
      </c>
      <c r="M33" s="97">
        <f t="shared" si="14"/>
        <v>115</v>
      </c>
      <c r="N33" s="99">
        <f t="shared" si="3"/>
        <v>0.28209090686094146</v>
      </c>
      <c r="O33" s="97">
        <v>29</v>
      </c>
      <c r="P33" s="97">
        <v>13</v>
      </c>
      <c r="Q33" s="97">
        <v>46</v>
      </c>
      <c r="R33" s="97">
        <v>28</v>
      </c>
      <c r="S33" s="97">
        <v>20</v>
      </c>
      <c r="T33" s="97">
        <f t="shared" si="17"/>
        <v>136</v>
      </c>
      <c r="U33" s="99">
        <f t="shared" si="0"/>
        <v>0.33360315941815682</v>
      </c>
      <c r="V33" s="97">
        <v>18</v>
      </c>
      <c r="W33" s="97">
        <v>2</v>
      </c>
      <c r="X33" s="97">
        <v>21</v>
      </c>
      <c r="Y33" s="97">
        <v>5</v>
      </c>
      <c r="Z33" s="97">
        <v>8</v>
      </c>
      <c r="AA33" s="97">
        <f t="shared" si="15"/>
        <v>54</v>
      </c>
      <c r="AB33" s="99">
        <f t="shared" si="1"/>
        <v>0.13246007800426815</v>
      </c>
      <c r="AC33" s="101">
        <f>6+8+2+10+16</f>
        <v>42</v>
      </c>
      <c r="AD33" s="101">
        <f>1+1+8+2+7</f>
        <v>19</v>
      </c>
      <c r="AE33" s="101">
        <f>43+36+105+43+34</f>
        <v>261</v>
      </c>
    </row>
    <row r="34" spans="1:32" ht="14.4" thickBot="1" x14ac:dyDescent="0.3">
      <c r="A34" s="89" t="s">
        <v>20</v>
      </c>
      <c r="B34" s="97">
        <v>7064</v>
      </c>
      <c r="C34" s="97">
        <v>4661</v>
      </c>
      <c r="D34" s="97">
        <v>8652</v>
      </c>
      <c r="E34" s="97">
        <v>8410</v>
      </c>
      <c r="F34" s="97">
        <v>4807</v>
      </c>
      <c r="G34" s="98">
        <f t="shared" si="16"/>
        <v>33594</v>
      </c>
      <c r="H34" s="97">
        <v>14</v>
      </c>
      <c r="I34" s="97">
        <v>6</v>
      </c>
      <c r="J34" s="97">
        <v>18</v>
      </c>
      <c r="K34" s="97">
        <v>8</v>
      </c>
      <c r="L34" s="97">
        <v>5</v>
      </c>
      <c r="M34" s="97">
        <f t="shared" si="14"/>
        <v>51</v>
      </c>
      <c r="N34" s="99">
        <f t="shared" si="3"/>
        <v>0.15181282371852117</v>
      </c>
      <c r="O34" s="97">
        <v>13</v>
      </c>
      <c r="P34" s="97">
        <v>6</v>
      </c>
      <c r="Q34" s="97">
        <v>31</v>
      </c>
      <c r="R34" s="97">
        <v>16</v>
      </c>
      <c r="S34" s="97">
        <v>8</v>
      </c>
      <c r="T34" s="97">
        <f t="shared" si="17"/>
        <v>74</v>
      </c>
      <c r="U34" s="99">
        <f t="shared" si="0"/>
        <v>0.22027743049354051</v>
      </c>
      <c r="V34" s="97">
        <v>5</v>
      </c>
      <c r="W34" s="97">
        <v>3</v>
      </c>
      <c r="X34" s="97">
        <v>5</v>
      </c>
      <c r="Y34" s="97">
        <v>0</v>
      </c>
      <c r="Z34" s="97">
        <v>5</v>
      </c>
      <c r="AA34" s="97">
        <f t="shared" si="15"/>
        <v>18</v>
      </c>
      <c r="AB34" s="99">
        <f t="shared" si="1"/>
        <v>5.3580996606536882E-2</v>
      </c>
      <c r="AC34" s="101">
        <f>5+3+2+6+10</f>
        <v>26</v>
      </c>
      <c r="AD34" s="101">
        <f>2+2+1+6+2</f>
        <v>13</v>
      </c>
      <c r="AE34" s="101">
        <f>33+21+64+37+21</f>
        <v>176</v>
      </c>
    </row>
    <row r="35" spans="1:32" ht="14.4" thickBot="1" x14ac:dyDescent="0.3">
      <c r="A35" s="89" t="s">
        <v>25</v>
      </c>
      <c r="B35" s="97">
        <v>163</v>
      </c>
      <c r="C35" s="97">
        <v>83</v>
      </c>
      <c r="D35" s="97">
        <v>144</v>
      </c>
      <c r="E35" s="97">
        <v>117</v>
      </c>
      <c r="F35" s="97">
        <v>802</v>
      </c>
      <c r="G35" s="98">
        <f t="shared" si="16"/>
        <v>1309</v>
      </c>
      <c r="H35" s="97">
        <v>0</v>
      </c>
      <c r="I35" s="97">
        <v>1</v>
      </c>
      <c r="J35" s="97">
        <v>1</v>
      </c>
      <c r="K35" s="97">
        <v>0</v>
      </c>
      <c r="L35" s="97">
        <v>1</v>
      </c>
      <c r="M35" s="97">
        <f t="shared" si="14"/>
        <v>3</v>
      </c>
      <c r="N35" s="99">
        <f t="shared" si="3"/>
        <v>0.22918258212375858</v>
      </c>
      <c r="O35" s="97">
        <v>0</v>
      </c>
      <c r="P35" s="97">
        <v>0</v>
      </c>
      <c r="Q35" s="97">
        <v>4</v>
      </c>
      <c r="R35" s="97">
        <v>0</v>
      </c>
      <c r="S35" s="97">
        <v>0</v>
      </c>
      <c r="T35" s="97">
        <f t="shared" si="17"/>
        <v>4</v>
      </c>
      <c r="U35" s="99">
        <f t="shared" si="0"/>
        <v>0.30557677616501144</v>
      </c>
      <c r="V35" s="97">
        <v>1</v>
      </c>
      <c r="W35" s="97">
        <v>0</v>
      </c>
      <c r="X35" s="97">
        <v>0</v>
      </c>
      <c r="Y35" s="97">
        <v>0</v>
      </c>
      <c r="Z35" s="97">
        <v>0</v>
      </c>
      <c r="AA35" s="97">
        <f t="shared" si="15"/>
        <v>1</v>
      </c>
      <c r="AB35" s="99">
        <f t="shared" si="1"/>
        <v>7.6394194041252861E-2</v>
      </c>
      <c r="AC35" s="101">
        <f>2+0+1+7+2</f>
        <v>12</v>
      </c>
      <c r="AD35" s="101">
        <f>0+0+0+0+1</f>
        <v>1</v>
      </c>
      <c r="AE35" s="101">
        <f>3+1+7+0+0</f>
        <v>11</v>
      </c>
    </row>
    <row r="36" spans="1:32" ht="14.4" thickBot="1" x14ac:dyDescent="0.3">
      <c r="A36" s="89" t="s">
        <v>26</v>
      </c>
      <c r="B36" s="97">
        <v>80829</v>
      </c>
      <c r="C36" s="97">
        <v>54550</v>
      </c>
      <c r="D36" s="97">
        <v>118412</v>
      </c>
      <c r="E36" s="97">
        <v>105110</v>
      </c>
      <c r="F36" s="97">
        <v>67745</v>
      </c>
      <c r="G36" s="98">
        <f t="shared" si="16"/>
        <v>426646</v>
      </c>
      <c r="H36" s="97">
        <v>117</v>
      </c>
      <c r="I36" s="97">
        <v>60</v>
      </c>
      <c r="J36" s="97">
        <v>161</v>
      </c>
      <c r="K36" s="97">
        <v>148</v>
      </c>
      <c r="L36" s="97">
        <v>69</v>
      </c>
      <c r="M36" s="97">
        <f t="shared" si="14"/>
        <v>555</v>
      </c>
      <c r="N36" s="99">
        <f t="shared" si="3"/>
        <v>0.13008442596438266</v>
      </c>
      <c r="O36" s="97">
        <v>182</v>
      </c>
      <c r="P36" s="97">
        <v>76</v>
      </c>
      <c r="Q36" s="97">
        <v>209</v>
      </c>
      <c r="R36" s="97">
        <v>156</v>
      </c>
      <c r="S36" s="97">
        <v>94</v>
      </c>
      <c r="T36" s="97">
        <f t="shared" si="17"/>
        <v>717</v>
      </c>
      <c r="U36" s="99">
        <f t="shared" si="0"/>
        <v>0.16805501516479704</v>
      </c>
      <c r="V36" s="97">
        <v>192</v>
      </c>
      <c r="W36" s="97">
        <v>32</v>
      </c>
      <c r="X36" s="97">
        <v>157</v>
      </c>
      <c r="Y36" s="97">
        <v>53</v>
      </c>
      <c r="Z36" s="97">
        <v>51</v>
      </c>
      <c r="AA36" s="97">
        <f t="shared" si="15"/>
        <v>485</v>
      </c>
      <c r="AB36" s="99">
        <f t="shared" si="1"/>
        <v>0.11367738124815421</v>
      </c>
      <c r="AC36" s="101">
        <f>34+25+5+27+42</f>
        <v>133</v>
      </c>
      <c r="AD36" s="101">
        <f>18+71+38+9+3</f>
        <v>139</v>
      </c>
      <c r="AE36" s="97">
        <f>592+321+1174+486+254</f>
        <v>2827</v>
      </c>
    </row>
    <row r="37" spans="1:32" s="132" customFormat="1" ht="14.4" thickBot="1" x14ac:dyDescent="0.3">
      <c r="A37" s="128" t="s">
        <v>21</v>
      </c>
      <c r="B37" s="111">
        <f t="shared" ref="B37:M37" si="18">SUM(B28:B36)</f>
        <v>109688</v>
      </c>
      <c r="C37" s="111">
        <f t="shared" si="18"/>
        <v>72634</v>
      </c>
      <c r="D37" s="111">
        <f t="shared" si="18"/>
        <v>153969</v>
      </c>
      <c r="E37" s="111">
        <f>SUM(E28:E36)</f>
        <v>136564</v>
      </c>
      <c r="F37" s="111">
        <f t="shared" si="18"/>
        <v>93031</v>
      </c>
      <c r="G37" s="102">
        <f t="shared" si="18"/>
        <v>565886</v>
      </c>
      <c r="H37" s="111">
        <f t="shared" si="18"/>
        <v>165</v>
      </c>
      <c r="I37" s="111">
        <f t="shared" si="18"/>
        <v>92</v>
      </c>
      <c r="J37" s="111">
        <f t="shared" si="18"/>
        <v>230</v>
      </c>
      <c r="K37" s="111">
        <f>SUM(K28:K36)</f>
        <v>185</v>
      </c>
      <c r="L37" s="111">
        <f t="shared" si="18"/>
        <v>100</v>
      </c>
      <c r="M37" s="103">
        <f t="shared" si="18"/>
        <v>772</v>
      </c>
      <c r="N37" s="104">
        <f t="shared" si="3"/>
        <v>0.13642323718911584</v>
      </c>
      <c r="O37" s="111">
        <f t="shared" ref="O37:T37" si="19">SUM(O28:O36)</f>
        <v>242</v>
      </c>
      <c r="P37" s="111">
        <f t="shared" si="19"/>
        <v>105</v>
      </c>
      <c r="Q37" s="111">
        <f t="shared" si="19"/>
        <v>305</v>
      </c>
      <c r="R37" s="111">
        <f>SUM(R28:R36)</f>
        <v>224</v>
      </c>
      <c r="S37" s="111">
        <f t="shared" si="19"/>
        <v>137</v>
      </c>
      <c r="T37" s="103">
        <f t="shared" si="19"/>
        <v>1013</v>
      </c>
      <c r="U37" s="104">
        <f t="shared" si="0"/>
        <v>0.1790113203012621</v>
      </c>
      <c r="V37" s="111">
        <f t="shared" ref="V37:AA37" si="20">SUM(V28:V36)</f>
        <v>220</v>
      </c>
      <c r="W37" s="111">
        <f t="shared" si="20"/>
        <v>38</v>
      </c>
      <c r="X37" s="111">
        <f t="shared" si="20"/>
        <v>195</v>
      </c>
      <c r="Y37" s="111">
        <f>SUM(Y28:Y36)</f>
        <v>60</v>
      </c>
      <c r="Z37" s="111">
        <f t="shared" si="20"/>
        <v>72</v>
      </c>
      <c r="AA37" s="103">
        <f t="shared" si="20"/>
        <v>585</v>
      </c>
      <c r="AB37" s="104">
        <f t="shared" si="1"/>
        <v>0.10337771211869529</v>
      </c>
      <c r="AC37" s="107">
        <f>SUM(AC28:AC36)</f>
        <v>232</v>
      </c>
      <c r="AD37" s="107">
        <f>SUM(AD28:AD36)</f>
        <v>175</v>
      </c>
      <c r="AE37" s="114">
        <f>SUM(AE28:AE36)</f>
        <v>3478</v>
      </c>
      <c r="AF37" s="143"/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244</v>
      </c>
      <c r="C40" s="97">
        <v>127</v>
      </c>
      <c r="D40" s="97">
        <v>282</v>
      </c>
      <c r="E40" s="97">
        <v>252</v>
      </c>
      <c r="F40" s="97">
        <v>1154</v>
      </c>
      <c r="G40" s="98">
        <f>SUM(B40:F40)</f>
        <v>2059</v>
      </c>
      <c r="H40" s="97">
        <v>1</v>
      </c>
      <c r="I40" s="97">
        <v>0</v>
      </c>
      <c r="J40" s="97">
        <v>0</v>
      </c>
      <c r="K40" s="97">
        <v>0</v>
      </c>
      <c r="L40" s="120">
        <v>1</v>
      </c>
      <c r="M40" s="97">
        <f>SUM(H40:L40)</f>
        <v>2</v>
      </c>
      <c r="N40" s="99">
        <f t="shared" si="3"/>
        <v>9.7134531325886356E-2</v>
      </c>
      <c r="O40" s="97">
        <v>5</v>
      </c>
      <c r="P40" s="97">
        <v>0</v>
      </c>
      <c r="Q40" s="97">
        <v>3</v>
      </c>
      <c r="R40" s="97">
        <v>1</v>
      </c>
      <c r="S40" s="97">
        <v>1</v>
      </c>
      <c r="T40" s="97">
        <f>SUM(O40:S40)</f>
        <v>10</v>
      </c>
      <c r="U40" s="99">
        <f t="shared" si="0"/>
        <v>0.48567265662943176</v>
      </c>
      <c r="V40" s="133">
        <v>0</v>
      </c>
      <c r="W40" s="133">
        <v>0</v>
      </c>
      <c r="X40" s="133">
        <v>0</v>
      </c>
      <c r="Y40" s="133">
        <v>0</v>
      </c>
      <c r="Z40" s="133">
        <v>0</v>
      </c>
      <c r="AA40" s="101">
        <f>SUM(V40:Z40)</f>
        <v>0</v>
      </c>
      <c r="AB40" s="99">
        <f t="shared" si="1"/>
        <v>0</v>
      </c>
      <c r="AC40" s="101">
        <f>0+1+0+0+1</f>
        <v>2</v>
      </c>
      <c r="AD40" s="101">
        <f>0+0+0+0+0</f>
        <v>0</v>
      </c>
      <c r="AE40" s="101">
        <f>6+6+0+0+0</f>
        <v>12</v>
      </c>
    </row>
    <row r="41" spans="1:32" ht="14.4" thickBot="1" x14ac:dyDescent="0.3">
      <c r="A41" s="89" t="s">
        <v>27</v>
      </c>
      <c r="B41" s="97">
        <v>91176</v>
      </c>
      <c r="C41" s="97">
        <v>51542</v>
      </c>
      <c r="D41" s="109">
        <v>65879</v>
      </c>
      <c r="E41" s="97">
        <v>75635</v>
      </c>
      <c r="F41" s="97">
        <v>68636</v>
      </c>
      <c r="G41" s="98">
        <f>SUM(B41:F41)</f>
        <v>352868</v>
      </c>
      <c r="H41" s="97">
        <v>27</v>
      </c>
      <c r="I41" s="97">
        <v>11</v>
      </c>
      <c r="J41" s="97">
        <v>31</v>
      </c>
      <c r="K41" s="97">
        <v>21</v>
      </c>
      <c r="L41" s="97">
        <v>30</v>
      </c>
      <c r="M41" s="97">
        <f>SUM(H41:L41)</f>
        <v>120</v>
      </c>
      <c r="N41" s="99">
        <f t="shared" si="3"/>
        <v>3.4007050795198203E-2</v>
      </c>
      <c r="O41" s="97">
        <v>31</v>
      </c>
      <c r="P41" s="97">
        <v>9</v>
      </c>
      <c r="Q41" s="97">
        <v>34</v>
      </c>
      <c r="R41" s="97">
        <v>17</v>
      </c>
      <c r="S41" s="97">
        <v>5</v>
      </c>
      <c r="T41" s="97">
        <f>SUM(O41:S41)</f>
        <v>96</v>
      </c>
      <c r="U41" s="99">
        <f t="shared" si="0"/>
        <v>2.7205640636158563E-2</v>
      </c>
      <c r="V41" s="109">
        <v>27</v>
      </c>
      <c r="W41" s="109">
        <v>3</v>
      </c>
      <c r="X41" s="133">
        <v>19</v>
      </c>
      <c r="Y41" s="133">
        <v>6</v>
      </c>
      <c r="Z41" s="133">
        <v>11</v>
      </c>
      <c r="AA41" s="97">
        <f>SUM(V41:Z41)</f>
        <v>66</v>
      </c>
      <c r="AB41" s="99">
        <f t="shared" si="1"/>
        <v>1.8703877937359014E-2</v>
      </c>
      <c r="AC41" s="101">
        <f>2+5+3+2+3</f>
        <v>15</v>
      </c>
      <c r="AD41" s="101">
        <f>3+2+16+0+3</f>
        <v>24</v>
      </c>
      <c r="AE41" s="101">
        <f>86+70+222+45+44</f>
        <v>467</v>
      </c>
    </row>
    <row r="42" spans="1:32" s="132" customFormat="1" ht="14.4" thickBot="1" x14ac:dyDescent="0.3">
      <c r="A42" s="128" t="s">
        <v>21</v>
      </c>
      <c r="B42" s="111">
        <f>SUM(B40:B41)</f>
        <v>91420</v>
      </c>
      <c r="C42" s="111">
        <f>SUM(C40:C41)</f>
        <v>51669</v>
      </c>
      <c r="D42" s="111">
        <f>SUM(D40:D41)</f>
        <v>66161</v>
      </c>
      <c r="E42" s="111">
        <f>SUM(E40:E41)</f>
        <v>75887</v>
      </c>
      <c r="F42" s="111">
        <f>SUM(F40:F41)</f>
        <v>69790</v>
      </c>
      <c r="G42" s="102">
        <f t="shared" ref="G42:M42" si="21">SUM(G40:G41)</f>
        <v>354927</v>
      </c>
      <c r="H42" s="115">
        <f>SUM(H40:H41)</f>
        <v>28</v>
      </c>
      <c r="I42" s="115">
        <f>SUM(I40:I41)</f>
        <v>11</v>
      </c>
      <c r="J42" s="115">
        <f>SUM(J40:J41)</f>
        <v>31</v>
      </c>
      <c r="K42" s="115">
        <f>SUM(K40:K41)</f>
        <v>21</v>
      </c>
      <c r="L42" s="115">
        <f>SUM(L40:L41)</f>
        <v>31</v>
      </c>
      <c r="M42" s="103">
        <f t="shared" si="21"/>
        <v>122</v>
      </c>
      <c r="N42" s="104">
        <f t="shared" si="3"/>
        <v>3.4373265488396205E-2</v>
      </c>
      <c r="O42" s="111">
        <f t="shared" ref="O42:T42" si="22">SUM(O40:O41)</f>
        <v>36</v>
      </c>
      <c r="P42" s="111">
        <f t="shared" si="22"/>
        <v>9</v>
      </c>
      <c r="Q42" s="111">
        <f t="shared" si="22"/>
        <v>37</v>
      </c>
      <c r="R42" s="111">
        <f t="shared" si="22"/>
        <v>18</v>
      </c>
      <c r="S42" s="111">
        <f t="shared" si="22"/>
        <v>6</v>
      </c>
      <c r="T42" s="103">
        <f t="shared" si="22"/>
        <v>106</v>
      </c>
      <c r="U42" s="104">
        <f t="shared" si="0"/>
        <v>2.9865296244016376E-2</v>
      </c>
      <c r="V42" s="116">
        <f>SUM(V40:V41)</f>
        <v>27</v>
      </c>
      <c r="W42" s="116">
        <f t="shared" ref="W42:Z42" si="23">SUM(W40:W41)</f>
        <v>3</v>
      </c>
      <c r="X42" s="116">
        <f t="shared" si="23"/>
        <v>19</v>
      </c>
      <c r="Y42" s="116">
        <f>SUM(Y40:Y41)</f>
        <v>6</v>
      </c>
      <c r="Z42" s="116">
        <f t="shared" si="23"/>
        <v>11</v>
      </c>
      <c r="AA42" s="106">
        <f>SUM(AA40:AA41)</f>
        <v>66</v>
      </c>
      <c r="AB42" s="104">
        <f t="shared" si="1"/>
        <v>1.8595373133066799E-2</v>
      </c>
      <c r="AC42" s="107">
        <f>SUM(AC40:AC41)</f>
        <v>17</v>
      </c>
      <c r="AD42" s="107">
        <f>SUM(AD40:AD41)</f>
        <v>24</v>
      </c>
      <c r="AE42" s="107">
        <f>SUM(AE40:AE41)</f>
        <v>479</v>
      </c>
    </row>
    <row r="43" spans="1:32" s="132" customFormat="1" ht="16.2" thickBot="1" x14ac:dyDescent="0.3">
      <c r="A43" s="121" t="s">
        <v>48</v>
      </c>
      <c r="B43" s="138">
        <f>B11+B25+B37+B42</f>
        <v>204249</v>
      </c>
      <c r="C43" s="134">
        <f>C11+C25+C37+C42</f>
        <v>125649</v>
      </c>
      <c r="D43" s="138">
        <f>D11+D25+D37+D42</f>
        <v>224912</v>
      </c>
      <c r="E43" s="134">
        <f>SUM(B43:D43)</f>
        <v>554810</v>
      </c>
      <c r="F43" s="134">
        <f t="shared" ref="F43:M43" si="24">F11+F25+F37+F42</f>
        <v>164557</v>
      </c>
      <c r="G43" s="122">
        <f t="shared" si="24"/>
        <v>936372</v>
      </c>
      <c r="H43" s="122">
        <f t="shared" si="24"/>
        <v>201</v>
      </c>
      <c r="I43" s="122">
        <f t="shared" si="24"/>
        <v>110</v>
      </c>
      <c r="J43" s="122">
        <f t="shared" si="24"/>
        <v>276</v>
      </c>
      <c r="K43" s="122">
        <f>K11+K25+K37+K42</f>
        <v>219</v>
      </c>
      <c r="L43" s="122">
        <f t="shared" si="24"/>
        <v>133</v>
      </c>
      <c r="M43" s="122">
        <f t="shared" si="24"/>
        <v>939</v>
      </c>
      <c r="N43" s="123">
        <f t="shared" si="3"/>
        <v>0.1002806576873294</v>
      </c>
      <c r="O43" s="122">
        <f t="shared" ref="O43:T43" si="25">O11+O25+O37+O42</f>
        <v>295</v>
      </c>
      <c r="P43" s="122">
        <f t="shared" si="25"/>
        <v>130</v>
      </c>
      <c r="Q43" s="122">
        <f t="shared" si="25"/>
        <v>362</v>
      </c>
      <c r="R43" s="122">
        <f>R11+R25+R37+R42</f>
        <v>282</v>
      </c>
      <c r="S43" s="122">
        <f t="shared" si="25"/>
        <v>146</v>
      </c>
      <c r="T43" s="122">
        <f t="shared" si="25"/>
        <v>1215</v>
      </c>
      <c r="U43" s="123">
        <f t="shared" si="0"/>
        <v>0.12975612256667221</v>
      </c>
      <c r="V43" s="122">
        <f t="shared" ref="V43:AA43" si="26">V11+V25+V37+V42</f>
        <v>260</v>
      </c>
      <c r="W43" s="122">
        <f t="shared" si="26"/>
        <v>44</v>
      </c>
      <c r="X43" s="122">
        <f t="shared" si="26"/>
        <v>248</v>
      </c>
      <c r="Y43" s="122">
        <f t="shared" si="26"/>
        <v>88</v>
      </c>
      <c r="Z43" s="122">
        <f t="shared" si="26"/>
        <v>89</v>
      </c>
      <c r="AA43" s="122">
        <f t="shared" si="26"/>
        <v>729</v>
      </c>
      <c r="AB43" s="123">
        <f t="shared" si="1"/>
        <v>7.7853673540003332E-2</v>
      </c>
      <c r="AC43" s="122">
        <f>AC11+AC25+AC37+AC42</f>
        <v>265</v>
      </c>
      <c r="AD43" s="122">
        <f>AD11+AD25+AD37+AD42</f>
        <v>210</v>
      </c>
      <c r="AE43" s="122">
        <f>AE11+AE25+AE37+AE42</f>
        <v>4265</v>
      </c>
    </row>
    <row r="44" spans="1:32" ht="13.8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2"/>
      <c r="M44" s="2"/>
      <c r="N44" s="2"/>
    </row>
    <row r="45" spans="1:32" x14ac:dyDescent="0.25">
      <c r="B45" s="165"/>
      <c r="C45" s="165"/>
      <c r="D45" s="165"/>
      <c r="E45" s="165"/>
      <c r="F45" s="165"/>
      <c r="G45" s="165"/>
      <c r="H45" s="165"/>
      <c r="I45" s="165"/>
    </row>
    <row r="46" spans="1:32" x14ac:dyDescent="0.25">
      <c r="B46" s="165"/>
      <c r="C46" s="165"/>
      <c r="D46" s="165"/>
      <c r="E46" s="165"/>
      <c r="F46" s="165"/>
      <c r="G46" s="165"/>
      <c r="H46" s="165"/>
      <c r="I46" s="165"/>
    </row>
    <row r="47" spans="1:32" x14ac:dyDescent="0.25">
      <c r="B47" s="165"/>
      <c r="C47" s="165"/>
      <c r="D47" s="165"/>
      <c r="E47" s="165"/>
      <c r="F47" s="165"/>
      <c r="G47" s="165"/>
      <c r="H47" s="165"/>
      <c r="I47" s="165"/>
    </row>
    <row r="48" spans="1:32" x14ac:dyDescent="0.25">
      <c r="B48" s="165"/>
      <c r="C48" s="165"/>
      <c r="D48" s="165"/>
      <c r="E48" s="165"/>
      <c r="F48" s="165"/>
      <c r="G48" s="165"/>
      <c r="H48" s="165"/>
      <c r="I48" s="165"/>
    </row>
    <row r="49" spans="2:9" x14ac:dyDescent="0.25">
      <c r="B49" s="165"/>
      <c r="C49" s="165"/>
      <c r="D49" s="165"/>
      <c r="E49" s="165"/>
      <c r="F49" s="165"/>
      <c r="G49" s="165"/>
      <c r="H49" s="165"/>
      <c r="I49" s="165"/>
    </row>
    <row r="50" spans="2:9" x14ac:dyDescent="0.25">
      <c r="B50" s="165"/>
      <c r="C50" s="165"/>
      <c r="D50" s="165"/>
      <c r="E50" s="165"/>
      <c r="F50" s="165"/>
      <c r="G50" s="165"/>
      <c r="H50" s="165"/>
      <c r="I50" s="165"/>
    </row>
    <row r="51" spans="2:9" x14ac:dyDescent="0.25">
      <c r="B51" s="165"/>
      <c r="C51" s="165"/>
      <c r="D51" s="165"/>
      <c r="E51" s="165"/>
      <c r="F51" s="165"/>
      <c r="G51" s="165"/>
      <c r="H51" s="165"/>
      <c r="I51" s="165"/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J48"/>
  <sheetViews>
    <sheetView zoomScaleNormal="100" workbookViewId="0">
      <pane xSplit="1" ySplit="4" topLeftCell="G17" activePane="bottomRight" state="frozen"/>
      <selection pane="topRight" activeCell="B1" sqref="B1"/>
      <selection pane="bottomLeft" activeCell="A5" sqref="A5"/>
      <selection pane="bottomRight" activeCell="AB24" sqref="AB24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6" s="91" customFormat="1" ht="25.2" thickBot="1" x14ac:dyDescent="0.45">
      <c r="A1" s="479" t="s">
        <v>102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6" s="91" customFormat="1" ht="18" customHeight="1" thickBot="1" x14ac:dyDescent="0.35"/>
    <row r="3" spans="1:36" ht="66" customHeight="1" thickTop="1" thickBot="1" x14ac:dyDescent="0.3">
      <c r="A3" s="480" t="s">
        <v>24</v>
      </c>
      <c r="B3" s="513" t="s">
        <v>0</v>
      </c>
      <c r="C3" s="514"/>
      <c r="D3" s="514"/>
      <c r="E3" s="514"/>
      <c r="F3" s="514"/>
      <c r="G3" s="515"/>
      <c r="H3" s="491" t="s">
        <v>117</v>
      </c>
      <c r="I3" s="492"/>
      <c r="J3" s="492"/>
      <c r="K3" s="492"/>
      <c r="L3" s="492"/>
      <c r="M3" s="487"/>
      <c r="N3" s="488" t="s">
        <v>39</v>
      </c>
      <c r="O3" s="485" t="s">
        <v>105</v>
      </c>
      <c r="P3" s="486"/>
      <c r="Q3" s="486"/>
      <c r="R3" s="486"/>
      <c r="S3" s="486"/>
      <c r="T3" s="487"/>
      <c r="U3" s="484" t="s">
        <v>42</v>
      </c>
      <c r="V3" s="492" t="s">
        <v>43</v>
      </c>
      <c r="W3" s="492"/>
      <c r="X3" s="492"/>
      <c r="Y3" s="492"/>
      <c r="Z3" s="492"/>
      <c r="AA3" s="493"/>
      <c r="AB3" s="488" t="s">
        <v>42</v>
      </c>
      <c r="AC3" s="95" t="s">
        <v>116</v>
      </c>
      <c r="AD3" s="96" t="s">
        <v>119</v>
      </c>
      <c r="AE3" s="96" t="s">
        <v>106</v>
      </c>
      <c r="AF3" s="19"/>
      <c r="AG3" s="19"/>
      <c r="AH3" s="19"/>
      <c r="AI3" s="19"/>
      <c r="AJ3" s="19"/>
    </row>
    <row r="4" spans="1:36" ht="13.8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517"/>
      <c r="V4" s="146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6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6" ht="14.4" thickBot="1" x14ac:dyDescent="0.3">
      <c r="A6" s="89" t="s">
        <v>1</v>
      </c>
      <c r="B6" s="97">
        <v>84</v>
      </c>
      <c r="C6" s="97">
        <v>34</v>
      </c>
      <c r="D6" s="97">
        <v>104</v>
      </c>
      <c r="E6" s="137">
        <v>94</v>
      </c>
      <c r="F6" s="97">
        <v>36</v>
      </c>
      <c r="G6" s="98">
        <f>SUM(B6:F6)</f>
        <v>352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101">
        <f>SUM(H6:L6)</f>
        <v>0</v>
      </c>
      <c r="N6" s="99">
        <f>M6*100/G6</f>
        <v>0</v>
      </c>
      <c r="O6" s="97">
        <v>0</v>
      </c>
      <c r="P6" s="97">
        <v>1</v>
      </c>
      <c r="Q6" s="97">
        <v>1</v>
      </c>
      <c r="R6" s="97">
        <v>1</v>
      </c>
      <c r="S6" s="97">
        <v>0</v>
      </c>
      <c r="T6" s="101">
        <f>SUM(O6:S6)</f>
        <v>3</v>
      </c>
      <c r="U6" s="99">
        <f>T6*100/G6</f>
        <v>0.85227272727272729</v>
      </c>
      <c r="V6" s="97">
        <v>0</v>
      </c>
      <c r="W6" s="97">
        <v>0</v>
      </c>
      <c r="X6" s="97">
        <v>1</v>
      </c>
      <c r="Y6" s="97">
        <v>0</v>
      </c>
      <c r="Z6" s="97">
        <v>0</v>
      </c>
      <c r="AA6" s="97">
        <f>SUM(V6:Z6)</f>
        <v>1</v>
      </c>
      <c r="AB6" s="99">
        <f>AA6*100/G6</f>
        <v>0.28409090909090912</v>
      </c>
      <c r="AC6" s="101">
        <f>0+0+0+0+0</f>
        <v>0</v>
      </c>
      <c r="AD6" s="101">
        <f>0+0+0+0+0</f>
        <v>0</v>
      </c>
      <c r="AE6" s="101">
        <f>0+0+7+0+0</f>
        <v>7</v>
      </c>
    </row>
    <row r="7" spans="1:36" ht="14.4" thickBot="1" x14ac:dyDescent="0.3">
      <c r="A7" s="90" t="s">
        <v>2</v>
      </c>
      <c r="B7" s="97">
        <v>548</v>
      </c>
      <c r="C7" s="97">
        <v>208</v>
      </c>
      <c r="D7" s="97">
        <v>746</v>
      </c>
      <c r="E7" s="137">
        <v>692</v>
      </c>
      <c r="F7" s="97">
        <v>274</v>
      </c>
      <c r="G7" s="98">
        <f>SUM(B7:F7)</f>
        <v>2468</v>
      </c>
      <c r="H7" s="97">
        <v>4</v>
      </c>
      <c r="I7" s="97">
        <v>1</v>
      </c>
      <c r="J7" s="97">
        <v>9</v>
      </c>
      <c r="K7" s="97">
        <v>3</v>
      </c>
      <c r="L7" s="97">
        <v>0</v>
      </c>
      <c r="M7" s="97">
        <f>SUM(H7:L7)</f>
        <v>17</v>
      </c>
      <c r="N7" s="99">
        <f>M7*100/G7</f>
        <v>0.68881685575364671</v>
      </c>
      <c r="O7" s="97">
        <v>7</v>
      </c>
      <c r="P7" s="97">
        <v>4</v>
      </c>
      <c r="Q7" s="97">
        <v>8</v>
      </c>
      <c r="R7" s="97">
        <v>6</v>
      </c>
      <c r="S7" s="97">
        <v>1</v>
      </c>
      <c r="T7" s="97">
        <f>SUM(O7:S7)</f>
        <v>26</v>
      </c>
      <c r="U7" s="99">
        <f>T7*100/G7</f>
        <v>1.0534846029173419</v>
      </c>
      <c r="V7" s="97">
        <v>2</v>
      </c>
      <c r="W7" s="97">
        <v>4</v>
      </c>
      <c r="X7" s="97">
        <v>3</v>
      </c>
      <c r="Y7" s="97">
        <v>2</v>
      </c>
      <c r="Z7" s="97">
        <v>5</v>
      </c>
      <c r="AA7" s="97">
        <f>SUM(V7:Z7)</f>
        <v>16</v>
      </c>
      <c r="AB7" s="99">
        <f>AA7*100/G7</f>
        <v>0.64829821717990277</v>
      </c>
      <c r="AC7" s="101">
        <f>0+2+4+0+1</f>
        <v>7</v>
      </c>
      <c r="AD7" s="101">
        <f>0+1+0+0+0</f>
        <v>1</v>
      </c>
      <c r="AE7" s="101">
        <f>10+12+30+8+9</f>
        <v>69</v>
      </c>
    </row>
    <row r="8" spans="1:36" ht="14.4" thickBot="1" x14ac:dyDescent="0.3">
      <c r="A8" s="90" t="s">
        <v>14</v>
      </c>
      <c r="B8" s="97">
        <v>43</v>
      </c>
      <c r="C8" s="97">
        <v>27</v>
      </c>
      <c r="D8" s="97">
        <v>95</v>
      </c>
      <c r="E8" s="137">
        <v>97</v>
      </c>
      <c r="F8" s="97">
        <v>42</v>
      </c>
      <c r="G8" s="98">
        <f>SUM(B8:F8)</f>
        <v>304</v>
      </c>
      <c r="H8" s="97">
        <v>0</v>
      </c>
      <c r="I8" s="97">
        <v>0</v>
      </c>
      <c r="J8" s="97">
        <v>0</v>
      </c>
      <c r="K8" s="97">
        <v>1</v>
      </c>
      <c r="L8" s="97">
        <v>0</v>
      </c>
      <c r="M8" s="101">
        <f>SUM(H8:L8)</f>
        <v>1</v>
      </c>
      <c r="N8" s="99">
        <f>M8*100/G8</f>
        <v>0.32894736842105265</v>
      </c>
      <c r="O8" s="97">
        <v>0</v>
      </c>
      <c r="P8" s="97">
        <v>0</v>
      </c>
      <c r="Q8" s="97">
        <v>2</v>
      </c>
      <c r="R8" s="97">
        <v>0</v>
      </c>
      <c r="S8" s="97">
        <v>0</v>
      </c>
      <c r="T8" s="101">
        <f>SUM(O8:S8)</f>
        <v>2</v>
      </c>
      <c r="U8" s="99">
        <f t="shared" ref="U8:U43" si="0">T8*100/G8</f>
        <v>0.65789473684210531</v>
      </c>
      <c r="V8" s="97">
        <v>0</v>
      </c>
      <c r="W8" s="97">
        <v>0</v>
      </c>
      <c r="X8" s="97">
        <v>0</v>
      </c>
      <c r="Y8" s="97">
        <v>1</v>
      </c>
      <c r="Z8" s="97">
        <v>0</v>
      </c>
      <c r="AA8" s="97">
        <f>SUM(V8:Z8)</f>
        <v>1</v>
      </c>
      <c r="AB8" s="99">
        <f t="shared" ref="AB8:AB43" si="1">AA8*100/G8</f>
        <v>0.32894736842105265</v>
      </c>
      <c r="AC8" s="101">
        <f>0+0+0+0+0</f>
        <v>0</v>
      </c>
      <c r="AD8" s="101">
        <f>0+0+0+0+0</f>
        <v>0</v>
      </c>
      <c r="AE8" s="101">
        <f>1+0+1+1+0</f>
        <v>3</v>
      </c>
    </row>
    <row r="9" spans="1:36" ht="14.4" thickBot="1" x14ac:dyDescent="0.3">
      <c r="A9" s="90" t="s">
        <v>3</v>
      </c>
      <c r="B9" s="97">
        <v>93</v>
      </c>
      <c r="C9" s="97">
        <v>78</v>
      </c>
      <c r="D9" s="97">
        <v>159</v>
      </c>
      <c r="E9" s="137">
        <v>126</v>
      </c>
      <c r="F9" s="97">
        <v>41</v>
      </c>
      <c r="G9" s="98">
        <f>SUM(B9:F9)</f>
        <v>497</v>
      </c>
      <c r="H9" s="97">
        <v>0</v>
      </c>
      <c r="I9" s="97">
        <v>0</v>
      </c>
      <c r="J9" s="97">
        <v>1</v>
      </c>
      <c r="K9" s="97">
        <v>0</v>
      </c>
      <c r="L9" s="97">
        <v>0</v>
      </c>
      <c r="M9" s="97">
        <f>SUM(H9:L9)</f>
        <v>1</v>
      </c>
      <c r="N9" s="99">
        <f>M9*100/G9</f>
        <v>0.2012072434607646</v>
      </c>
      <c r="O9" s="97">
        <v>0</v>
      </c>
      <c r="P9" s="97">
        <v>0</v>
      </c>
      <c r="Q9" s="97">
        <v>0</v>
      </c>
      <c r="R9" s="97">
        <v>3</v>
      </c>
      <c r="S9" s="97">
        <v>0</v>
      </c>
      <c r="T9" s="97">
        <f>SUM(O9:S9)</f>
        <v>3</v>
      </c>
      <c r="U9" s="99">
        <f t="shared" si="0"/>
        <v>0.60362173038229372</v>
      </c>
      <c r="V9" s="97">
        <v>0</v>
      </c>
      <c r="W9" s="97">
        <v>0</v>
      </c>
      <c r="X9" s="97">
        <v>0</v>
      </c>
      <c r="Y9" s="97">
        <v>0</v>
      </c>
      <c r="Z9" s="97">
        <v>1</v>
      </c>
      <c r="AA9" s="97">
        <f>SUM(V9:Z9)</f>
        <v>1</v>
      </c>
      <c r="AB9" s="99">
        <f t="shared" si="1"/>
        <v>0.2012072434607646</v>
      </c>
      <c r="AC9" s="101">
        <f>1+0+0+0+0</f>
        <v>1</v>
      </c>
      <c r="AD9" s="101">
        <f>0+0+0+0+0</f>
        <v>0</v>
      </c>
      <c r="AE9" s="101">
        <f>3+1+1+0+0</f>
        <v>5</v>
      </c>
    </row>
    <row r="10" spans="1:36" ht="23.4" thickBot="1" x14ac:dyDescent="0.3">
      <c r="A10" s="139" t="s">
        <v>23</v>
      </c>
      <c r="B10" s="97">
        <v>679</v>
      </c>
      <c r="C10" s="97">
        <v>225</v>
      </c>
      <c r="D10" s="97">
        <v>878</v>
      </c>
      <c r="E10" s="137">
        <v>815</v>
      </c>
      <c r="F10" s="97">
        <v>290</v>
      </c>
      <c r="G10" s="98">
        <f>SUM(B10:F10)</f>
        <v>2887</v>
      </c>
      <c r="H10" s="97">
        <v>2</v>
      </c>
      <c r="I10" s="97">
        <v>1</v>
      </c>
      <c r="J10" s="97">
        <v>1</v>
      </c>
      <c r="K10" s="97">
        <v>8</v>
      </c>
      <c r="L10" s="97">
        <v>1</v>
      </c>
      <c r="M10" s="97">
        <f>SUM(H10:L10)</f>
        <v>13</v>
      </c>
      <c r="N10" s="99">
        <f>M10*100/G10</f>
        <v>0.45029442327675789</v>
      </c>
      <c r="O10" s="97">
        <v>2</v>
      </c>
      <c r="P10" s="97">
        <v>4</v>
      </c>
      <c r="Q10" s="97">
        <v>6</v>
      </c>
      <c r="R10" s="97">
        <v>7</v>
      </c>
      <c r="S10" s="97">
        <v>1</v>
      </c>
      <c r="T10" s="100">
        <f>SUM(O10:S10)</f>
        <v>20</v>
      </c>
      <c r="U10" s="99">
        <f t="shared" si="0"/>
        <v>0.69276065119501218</v>
      </c>
      <c r="V10" s="97">
        <v>2</v>
      </c>
      <c r="W10" s="97">
        <v>0</v>
      </c>
      <c r="X10" s="97">
        <v>6</v>
      </c>
      <c r="Y10" s="97">
        <v>1</v>
      </c>
      <c r="Z10" s="97">
        <v>0</v>
      </c>
      <c r="AA10" s="97">
        <f>SUM(V10:Z10)</f>
        <v>9</v>
      </c>
      <c r="AB10" s="99">
        <f t="shared" si="1"/>
        <v>0.31174229303775547</v>
      </c>
      <c r="AC10" s="101">
        <f>1+1+1+0+2</f>
        <v>5</v>
      </c>
      <c r="AD10" s="101">
        <f>1+0+0+1+0</f>
        <v>2</v>
      </c>
      <c r="AE10" s="101">
        <f>10+3+14+6+2</f>
        <v>35</v>
      </c>
    </row>
    <row r="11" spans="1:36" s="132" customFormat="1" ht="14.4" thickBot="1" x14ac:dyDescent="0.3">
      <c r="A11" s="124" t="s">
        <v>21</v>
      </c>
      <c r="B11" s="105">
        <f>SUM(B6:B10)</f>
        <v>1447</v>
      </c>
      <c r="C11" s="105">
        <f>SUM(C6:C10)</f>
        <v>572</v>
      </c>
      <c r="D11" s="105">
        <f>SUM(D6:D10)</f>
        <v>1982</v>
      </c>
      <c r="E11" s="105">
        <f>SUM(E6:E10)</f>
        <v>1824</v>
      </c>
      <c r="F11" s="105">
        <f>SUM(F6:F10)</f>
        <v>683</v>
      </c>
      <c r="G11" s="102">
        <f t="shared" ref="G11:M11" si="2">SUM(G6:G10)</f>
        <v>6508</v>
      </c>
      <c r="H11" s="111">
        <f>SUM(H6:H10)</f>
        <v>6</v>
      </c>
      <c r="I11" s="111">
        <f>SUM(I6:I10)</f>
        <v>2</v>
      </c>
      <c r="J11" s="111">
        <f t="shared" si="2"/>
        <v>11</v>
      </c>
      <c r="K11" s="111">
        <f t="shared" si="2"/>
        <v>12</v>
      </c>
      <c r="L11" s="111">
        <f t="shared" si="2"/>
        <v>1</v>
      </c>
      <c r="M11" s="103">
        <f t="shared" si="2"/>
        <v>32</v>
      </c>
      <c r="N11" s="104">
        <f t="shared" ref="N11:N43" si="3">M11*100/G11</f>
        <v>0.49170251997541486</v>
      </c>
      <c r="O11" s="105">
        <f>SUM(O6:O10)</f>
        <v>9</v>
      </c>
      <c r="P11" s="105">
        <f t="shared" ref="P11:T11" si="4">SUM(P6:P10)</f>
        <v>9</v>
      </c>
      <c r="Q11" s="105">
        <f t="shared" si="4"/>
        <v>17</v>
      </c>
      <c r="R11" s="105">
        <f>SUM(R6:R10)</f>
        <v>17</v>
      </c>
      <c r="S11" s="105">
        <f t="shared" si="4"/>
        <v>2</v>
      </c>
      <c r="T11" s="103">
        <f t="shared" si="4"/>
        <v>54</v>
      </c>
      <c r="U11" s="104">
        <f t="shared" si="0"/>
        <v>0.82974800245851255</v>
      </c>
      <c r="V11" s="105">
        <f t="shared" ref="V11:AA11" si="5">SUM(V6:V10)</f>
        <v>4</v>
      </c>
      <c r="W11" s="105">
        <f t="shared" si="5"/>
        <v>4</v>
      </c>
      <c r="X11" s="105">
        <f t="shared" si="5"/>
        <v>10</v>
      </c>
      <c r="Y11" s="105">
        <f>SUM(Y6:Y10)</f>
        <v>4</v>
      </c>
      <c r="Z11" s="105">
        <f t="shared" si="5"/>
        <v>6</v>
      </c>
      <c r="AA11" s="106">
        <f t="shared" si="5"/>
        <v>28</v>
      </c>
      <c r="AB11" s="104">
        <f t="shared" si="1"/>
        <v>0.43023970497848801</v>
      </c>
      <c r="AC11" s="107">
        <f>SUM(AC6:AC10)</f>
        <v>13</v>
      </c>
      <c r="AD11" s="107">
        <f>SUM(AD6:AD10)</f>
        <v>3</v>
      </c>
      <c r="AE11" s="107">
        <f>SUM(AE6:AE10)</f>
        <v>119</v>
      </c>
    </row>
    <row r="12" spans="1:36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6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6" ht="14.4" thickBot="1" x14ac:dyDescent="0.3">
      <c r="A14" s="89" t="s">
        <v>4</v>
      </c>
      <c r="B14" s="97">
        <v>15</v>
      </c>
      <c r="C14" s="97">
        <f>0+2+0+1+0+0+0</f>
        <v>3</v>
      </c>
      <c r="D14" s="97">
        <v>27</v>
      </c>
      <c r="E14" s="97">
        <v>42</v>
      </c>
      <c r="F14" s="97">
        <v>5</v>
      </c>
      <c r="G14" s="98">
        <f>SUM(B14:F14)</f>
        <v>92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f>SUM(O14:S14)</f>
        <v>0</v>
      </c>
      <c r="U14" s="99">
        <f t="shared" si="0"/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 t="shared" si="1"/>
        <v>0</v>
      </c>
      <c r="AC14" s="101">
        <f>0+0+0+0+0</f>
        <v>0</v>
      </c>
      <c r="AD14" s="101">
        <f>0+0+0+0+0</f>
        <v>0</v>
      </c>
      <c r="AE14" s="101">
        <f>0+0+0+0+0</f>
        <v>0</v>
      </c>
    </row>
    <row r="15" spans="1:36" ht="14.4" thickBot="1" x14ac:dyDescent="0.3">
      <c r="A15" s="89" t="s">
        <v>5</v>
      </c>
      <c r="B15" s="97">
        <v>200</v>
      </c>
      <c r="C15" s="97">
        <f>10+13+10+15+10+8+1</f>
        <v>67</v>
      </c>
      <c r="D15" s="97">
        <v>327</v>
      </c>
      <c r="E15" s="97">
        <v>356</v>
      </c>
      <c r="F15" s="97">
        <v>112</v>
      </c>
      <c r="G15" s="98">
        <f t="shared" ref="G15:G24" si="6">SUM(B15:F15)</f>
        <v>1062</v>
      </c>
      <c r="H15" s="97">
        <v>0</v>
      </c>
      <c r="I15" s="97">
        <v>0</v>
      </c>
      <c r="J15" s="97">
        <v>0</v>
      </c>
      <c r="K15" s="97">
        <v>0</v>
      </c>
      <c r="L15" s="97">
        <v>1</v>
      </c>
      <c r="M15" s="97">
        <f>SUM(H15:L15)</f>
        <v>1</v>
      </c>
      <c r="N15" s="99">
        <f t="shared" si="3"/>
        <v>9.4161958568738227E-2</v>
      </c>
      <c r="O15" s="97">
        <v>0</v>
      </c>
      <c r="P15" s="97">
        <v>0</v>
      </c>
      <c r="Q15" s="97">
        <v>4</v>
      </c>
      <c r="R15" s="97">
        <v>3</v>
      </c>
      <c r="S15" s="97">
        <v>2</v>
      </c>
      <c r="T15" s="97">
        <f>SUM(O15:S15)</f>
        <v>9</v>
      </c>
      <c r="U15" s="99">
        <f t="shared" si="0"/>
        <v>0.84745762711864403</v>
      </c>
      <c r="V15" s="97">
        <v>0</v>
      </c>
      <c r="W15" s="97">
        <v>0</v>
      </c>
      <c r="X15" s="97">
        <v>1</v>
      </c>
      <c r="Y15" s="97">
        <v>0</v>
      </c>
      <c r="Z15" s="97">
        <v>1</v>
      </c>
      <c r="AA15" s="97">
        <f>SUM(V15:Z15)</f>
        <v>2</v>
      </c>
      <c r="AB15" s="99">
        <f t="shared" si="1"/>
        <v>0.18832391713747645</v>
      </c>
      <c r="AC15" s="101">
        <f t="shared" ref="AC15:AD17" si="7">0+0+0+0+0</f>
        <v>0</v>
      </c>
      <c r="AD15" s="101">
        <f t="shared" si="7"/>
        <v>0</v>
      </c>
      <c r="AE15" s="101">
        <f>5+3+6+9+6</f>
        <v>29</v>
      </c>
    </row>
    <row r="16" spans="1:36" ht="14.4" thickBot="1" x14ac:dyDescent="0.3">
      <c r="A16" s="89" t="s">
        <v>6</v>
      </c>
      <c r="B16" s="109">
        <v>32</v>
      </c>
      <c r="C16" s="97">
        <f>3+0+5+6+1+3+1</f>
        <v>19</v>
      </c>
      <c r="D16" s="97">
        <v>79</v>
      </c>
      <c r="E16" s="97">
        <v>69</v>
      </c>
      <c r="F16" s="97">
        <v>21</v>
      </c>
      <c r="G16" s="98">
        <f t="shared" si="6"/>
        <v>220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f t="shared" ref="M16:M20" si="8">SUM(H16:L16)</f>
        <v>0</v>
      </c>
      <c r="N16" s="99">
        <f t="shared" si="3"/>
        <v>0</v>
      </c>
      <c r="O16" s="97">
        <v>0</v>
      </c>
      <c r="P16" s="97">
        <v>0</v>
      </c>
      <c r="Q16" s="97">
        <v>2</v>
      </c>
      <c r="R16" s="97">
        <v>3</v>
      </c>
      <c r="S16" s="97">
        <v>0</v>
      </c>
      <c r="T16" s="97">
        <f>SUM(O16:S16)</f>
        <v>5</v>
      </c>
      <c r="U16" s="99">
        <f t="shared" si="0"/>
        <v>2.2727272727272729</v>
      </c>
      <c r="V16" s="97">
        <v>1</v>
      </c>
      <c r="W16" s="97">
        <v>0</v>
      </c>
      <c r="X16" s="97">
        <v>0</v>
      </c>
      <c r="Y16" s="97">
        <v>0</v>
      </c>
      <c r="Z16" s="97">
        <v>0</v>
      </c>
      <c r="AA16" s="97">
        <f>SUM(V16:Z16)</f>
        <v>1</v>
      </c>
      <c r="AB16" s="99">
        <f t="shared" si="1"/>
        <v>0.45454545454545453</v>
      </c>
      <c r="AC16" s="101">
        <f t="shared" si="7"/>
        <v>0</v>
      </c>
      <c r="AD16" s="101">
        <f t="shared" si="7"/>
        <v>0</v>
      </c>
      <c r="AE16" s="101">
        <f>1+1+0+0+0</f>
        <v>2</v>
      </c>
    </row>
    <row r="17" spans="1:34" ht="14.4" thickBot="1" x14ac:dyDescent="0.3">
      <c r="A17" s="89" t="s">
        <v>7</v>
      </c>
      <c r="B17" s="97">
        <v>29</v>
      </c>
      <c r="C17" s="97">
        <f>3+0+0+0+0+0+0</f>
        <v>3</v>
      </c>
      <c r="D17" s="97">
        <v>40</v>
      </c>
      <c r="E17" s="97">
        <v>23</v>
      </c>
      <c r="F17" s="97">
        <v>21</v>
      </c>
      <c r="G17" s="98">
        <f t="shared" si="6"/>
        <v>116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>SUM(H17:L17)</f>
        <v>0</v>
      </c>
      <c r="N17" s="99">
        <f t="shared" si="3"/>
        <v>0</v>
      </c>
      <c r="O17" s="97">
        <v>0</v>
      </c>
      <c r="P17" s="97">
        <v>0</v>
      </c>
      <c r="Q17" s="97">
        <v>0</v>
      </c>
      <c r="R17" s="97">
        <v>0</v>
      </c>
      <c r="S17" s="97">
        <v>1</v>
      </c>
      <c r="T17" s="97">
        <f>SUM(O17:S17)</f>
        <v>1</v>
      </c>
      <c r="U17" s="99">
        <f t="shared" si="0"/>
        <v>0.86206896551724133</v>
      </c>
      <c r="V17" s="97">
        <v>0</v>
      </c>
      <c r="W17" s="97">
        <v>0</v>
      </c>
      <c r="X17" s="97">
        <v>1</v>
      </c>
      <c r="Y17" s="97">
        <v>0</v>
      </c>
      <c r="Z17" s="97">
        <v>0</v>
      </c>
      <c r="AA17" s="101">
        <f t="shared" ref="AA17:AA20" si="9">SUM(V17:Z17)</f>
        <v>1</v>
      </c>
      <c r="AB17" s="99">
        <f t="shared" si="1"/>
        <v>0.86206896551724133</v>
      </c>
      <c r="AC17" s="101">
        <f t="shared" si="7"/>
        <v>0</v>
      </c>
      <c r="AD17" s="101">
        <f t="shared" si="7"/>
        <v>0</v>
      </c>
      <c r="AE17" s="101">
        <f>0+0+0+0+0</f>
        <v>0</v>
      </c>
    </row>
    <row r="18" spans="1:34" ht="14.4" thickBot="1" x14ac:dyDescent="0.3">
      <c r="A18" s="89" t="s">
        <v>8</v>
      </c>
      <c r="B18" s="97">
        <v>13</v>
      </c>
      <c r="C18" s="97">
        <f>0+0+0+2+0+0+0</f>
        <v>2</v>
      </c>
      <c r="D18" s="97">
        <v>9</v>
      </c>
      <c r="E18" s="97">
        <v>8</v>
      </c>
      <c r="F18" s="97">
        <v>4</v>
      </c>
      <c r="G18" s="98">
        <f t="shared" si="6"/>
        <v>36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>SUM(H18:L18)</f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f t="shared" ref="T18:T20" si="10">SUM(O18:S18)</f>
        <v>0</v>
      </c>
      <c r="U18" s="99">
        <f t="shared" si="0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>SUM(V18:Z18)</f>
        <v>0</v>
      </c>
      <c r="AB18" s="99">
        <f t="shared" si="1"/>
        <v>0</v>
      </c>
      <c r="AC18" s="101">
        <f>0+0+1+0+0</f>
        <v>1</v>
      </c>
      <c r="AD18" s="101">
        <f>0+0+0+0+0</f>
        <v>0</v>
      </c>
      <c r="AE18" s="101">
        <f>0+0+0+0+0</f>
        <v>0</v>
      </c>
    </row>
    <row r="19" spans="1:34" ht="14.4" thickBot="1" x14ac:dyDescent="0.3">
      <c r="A19" s="89" t="s">
        <v>9</v>
      </c>
      <c r="B19" s="97">
        <v>8</v>
      </c>
      <c r="C19" s="97">
        <f>1+0+2+0+4+0+0</f>
        <v>7</v>
      </c>
      <c r="D19" s="97">
        <v>22</v>
      </c>
      <c r="E19" s="97">
        <v>10</v>
      </c>
      <c r="F19" s="97">
        <v>6</v>
      </c>
      <c r="G19" s="98">
        <f t="shared" si="6"/>
        <v>53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f t="shared" si="8"/>
        <v>0</v>
      </c>
      <c r="N19" s="99">
        <f t="shared" si="3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10"/>
        <v>0</v>
      </c>
      <c r="U19" s="99">
        <f t="shared" si="0"/>
        <v>0</v>
      </c>
      <c r="V19" s="97">
        <v>0</v>
      </c>
      <c r="W19" s="97">
        <v>0</v>
      </c>
      <c r="X19" s="97">
        <v>1</v>
      </c>
      <c r="Y19" s="97">
        <v>0</v>
      </c>
      <c r="Z19" s="97">
        <v>0</v>
      </c>
      <c r="AA19" s="101">
        <f t="shared" si="9"/>
        <v>1</v>
      </c>
      <c r="AB19" s="99">
        <f t="shared" si="1"/>
        <v>1.8867924528301887</v>
      </c>
      <c r="AC19" s="101">
        <f>0+0+0+0+0</f>
        <v>0</v>
      </c>
      <c r="AD19" s="101">
        <f>0+0+0+0+0</f>
        <v>0</v>
      </c>
      <c r="AE19" s="101">
        <f>0+6+0+0+0</f>
        <v>6</v>
      </c>
    </row>
    <row r="20" spans="1:34" ht="14.4" thickBot="1" x14ac:dyDescent="0.3">
      <c r="A20" s="89" t="s">
        <v>10</v>
      </c>
      <c r="B20" s="97">
        <v>7</v>
      </c>
      <c r="C20" s="97">
        <f>1+0+0+1+1+0+0</f>
        <v>3</v>
      </c>
      <c r="D20" s="97">
        <v>9</v>
      </c>
      <c r="E20" s="97">
        <v>20</v>
      </c>
      <c r="F20" s="97">
        <v>2</v>
      </c>
      <c r="G20" s="98">
        <f t="shared" si="6"/>
        <v>41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8"/>
        <v>0</v>
      </c>
      <c r="N20" s="99">
        <f t="shared" si="3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10"/>
        <v>0</v>
      </c>
      <c r="U20" s="99">
        <f t="shared" si="0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9"/>
        <v>0</v>
      </c>
      <c r="AB20" s="99">
        <f t="shared" si="1"/>
        <v>0</v>
      </c>
      <c r="AC20" s="101">
        <f>0+0+0+0+0</f>
        <v>0</v>
      </c>
      <c r="AD20" s="101">
        <f>0+0+0+0+0</f>
        <v>0</v>
      </c>
      <c r="AE20" s="101">
        <f>0+0+0+0+0</f>
        <v>0</v>
      </c>
    </row>
    <row r="21" spans="1:34" ht="14.4" thickBot="1" x14ac:dyDescent="0.3">
      <c r="A21" s="89" t="s">
        <v>11</v>
      </c>
      <c r="B21" s="97">
        <v>94</v>
      </c>
      <c r="C21" s="97">
        <f>3+1+3+6+0+5+1</f>
        <v>19</v>
      </c>
      <c r="D21" s="97">
        <v>125</v>
      </c>
      <c r="E21" s="97">
        <v>171</v>
      </c>
      <c r="F21" s="97">
        <v>44</v>
      </c>
      <c r="G21" s="98">
        <f t="shared" si="6"/>
        <v>453</v>
      </c>
      <c r="H21" s="97">
        <v>1</v>
      </c>
      <c r="I21" s="97">
        <v>0</v>
      </c>
      <c r="J21" s="97">
        <v>0</v>
      </c>
      <c r="K21" s="97">
        <v>0</v>
      </c>
      <c r="L21" s="97">
        <v>0</v>
      </c>
      <c r="M21" s="97">
        <f>SUM(H21:L21)</f>
        <v>1</v>
      </c>
      <c r="N21" s="99">
        <f t="shared" si="3"/>
        <v>0.22075055187637968</v>
      </c>
      <c r="O21" s="97">
        <v>1</v>
      </c>
      <c r="P21" s="97">
        <v>0</v>
      </c>
      <c r="Q21" s="97">
        <v>1</v>
      </c>
      <c r="R21" s="97">
        <v>2</v>
      </c>
      <c r="S21" s="97">
        <v>0</v>
      </c>
      <c r="T21" s="97">
        <f>SUM(O21:S21)</f>
        <v>4</v>
      </c>
      <c r="U21" s="99">
        <f t="shared" si="0"/>
        <v>0.88300220750551872</v>
      </c>
      <c r="V21" s="97">
        <v>2</v>
      </c>
      <c r="W21" s="97">
        <v>0</v>
      </c>
      <c r="X21" s="97">
        <v>1</v>
      </c>
      <c r="Y21" s="97">
        <v>0</v>
      </c>
      <c r="Z21" s="97">
        <v>3</v>
      </c>
      <c r="AA21" s="97">
        <f>SUM(V21:Z21)</f>
        <v>6</v>
      </c>
      <c r="AB21" s="99">
        <f t="shared" si="1"/>
        <v>1.3245033112582782</v>
      </c>
      <c r="AC21" s="101">
        <f>1+0+0+0+1</f>
        <v>2</v>
      </c>
      <c r="AD21" s="101">
        <f>0+0+0+0+0</f>
        <v>0</v>
      </c>
      <c r="AE21" s="101">
        <f>4+0+11+1+3</f>
        <v>19</v>
      </c>
    </row>
    <row r="22" spans="1:34" ht="14.4" thickBot="1" x14ac:dyDescent="0.3">
      <c r="A22" s="89" t="s">
        <v>12</v>
      </c>
      <c r="B22" s="97">
        <v>829</v>
      </c>
      <c r="C22" s="97">
        <f>44+42+53+91+67+73+22</f>
        <v>392</v>
      </c>
      <c r="D22" s="97">
        <v>1570</v>
      </c>
      <c r="E22" s="97">
        <v>1280</v>
      </c>
      <c r="F22" s="97">
        <v>537</v>
      </c>
      <c r="G22" s="98">
        <f t="shared" si="6"/>
        <v>4608</v>
      </c>
      <c r="H22" s="97">
        <v>6</v>
      </c>
      <c r="I22" s="97">
        <v>2</v>
      </c>
      <c r="J22" s="97">
        <v>7</v>
      </c>
      <c r="K22" s="97">
        <v>7</v>
      </c>
      <c r="L22" s="97">
        <v>6</v>
      </c>
      <c r="M22" s="97">
        <f>SUM(H22:L22)</f>
        <v>28</v>
      </c>
      <c r="N22" s="99">
        <f t="shared" si="3"/>
        <v>0.60763888888888884</v>
      </c>
      <c r="O22" s="97">
        <v>6</v>
      </c>
      <c r="P22" s="97">
        <v>2</v>
      </c>
      <c r="Q22" s="97">
        <v>3</v>
      </c>
      <c r="R22" s="97">
        <v>9</v>
      </c>
      <c r="S22" s="97">
        <v>3</v>
      </c>
      <c r="T22" s="97">
        <f>SUM(O22:S22)</f>
        <v>23</v>
      </c>
      <c r="U22" s="99">
        <f t="shared" si="0"/>
        <v>0.49913194444444442</v>
      </c>
      <c r="V22" s="97">
        <v>2</v>
      </c>
      <c r="W22" s="97">
        <v>1</v>
      </c>
      <c r="X22" s="97">
        <v>4</v>
      </c>
      <c r="Y22" s="97">
        <v>2</v>
      </c>
      <c r="Z22" s="97">
        <v>0</v>
      </c>
      <c r="AA22" s="97">
        <f>SUM(V22:Z22)</f>
        <v>9</v>
      </c>
      <c r="AB22" s="99">
        <f t="shared" si="1"/>
        <v>0.1953125</v>
      </c>
      <c r="AC22" s="101">
        <f>0+2+0+0+1</f>
        <v>3</v>
      </c>
      <c r="AD22" s="101">
        <f>0+1+0+1+0</f>
        <v>2</v>
      </c>
      <c r="AE22" s="101">
        <f>16+17+29+13+6</f>
        <v>81</v>
      </c>
    </row>
    <row r="23" spans="1:34" ht="14.4" thickBot="1" x14ac:dyDescent="0.3">
      <c r="A23" s="89" t="s">
        <v>13</v>
      </c>
      <c r="B23" s="97">
        <v>13</v>
      </c>
      <c r="C23" s="97">
        <f>0+1+9+3+0+0+1</f>
        <v>14</v>
      </c>
      <c r="D23" s="97">
        <v>10</v>
      </c>
      <c r="E23" s="97">
        <v>2</v>
      </c>
      <c r="F23" s="97">
        <v>4</v>
      </c>
      <c r="G23" s="98">
        <f t="shared" si="6"/>
        <v>43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>SUM(H23:L23)</f>
        <v>0</v>
      </c>
      <c r="N23" s="99">
        <f t="shared" si="3"/>
        <v>0</v>
      </c>
      <c r="O23" s="97">
        <v>2</v>
      </c>
      <c r="P23" s="97">
        <v>0</v>
      </c>
      <c r="Q23" s="97">
        <v>0</v>
      </c>
      <c r="R23" s="97">
        <v>0</v>
      </c>
      <c r="S23" s="97">
        <v>0</v>
      </c>
      <c r="T23" s="97">
        <f>SUM(O23:S23)</f>
        <v>2</v>
      </c>
      <c r="U23" s="99">
        <f t="shared" si="0"/>
        <v>4.6511627906976747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>SUM(V23:Z23)</f>
        <v>0</v>
      </c>
      <c r="AB23" s="99">
        <f t="shared" si="1"/>
        <v>0</v>
      </c>
      <c r="AC23" s="101">
        <f>0+0+0+0+1</f>
        <v>1</v>
      </c>
      <c r="AD23" s="101">
        <f>0+0+0+0+0</f>
        <v>0</v>
      </c>
      <c r="AE23" s="101">
        <f>1+0+0+0+0</f>
        <v>1</v>
      </c>
    </row>
    <row r="24" spans="1:34" ht="23.4" thickBot="1" x14ac:dyDescent="0.3">
      <c r="A24" s="139" t="s">
        <v>23</v>
      </c>
      <c r="B24" s="110">
        <v>466</v>
      </c>
      <c r="C24" s="110">
        <f>23+28+42+33+45+36+12</f>
        <v>219</v>
      </c>
      <c r="D24" s="97">
        <v>615</v>
      </c>
      <c r="E24" s="110">
        <v>800</v>
      </c>
      <c r="F24" s="97">
        <v>255</v>
      </c>
      <c r="G24" s="98">
        <f t="shared" si="6"/>
        <v>2355</v>
      </c>
      <c r="H24" s="110">
        <v>1</v>
      </c>
      <c r="I24" s="97">
        <v>0</v>
      </c>
      <c r="J24" s="97">
        <v>2</v>
      </c>
      <c r="K24" s="97">
        <v>7</v>
      </c>
      <c r="L24" s="97">
        <v>0</v>
      </c>
      <c r="M24" s="97">
        <f>SUM(H24:L24)</f>
        <v>10</v>
      </c>
      <c r="N24" s="99">
        <f t="shared" si="3"/>
        <v>0.42462845010615713</v>
      </c>
      <c r="O24" s="110">
        <v>3</v>
      </c>
      <c r="P24" s="97">
        <v>1</v>
      </c>
      <c r="Q24" s="110">
        <v>5</v>
      </c>
      <c r="R24" s="110">
        <v>16</v>
      </c>
      <c r="S24" s="97">
        <v>0</v>
      </c>
      <c r="T24" s="97">
        <f>SUM(O24:S24)</f>
        <v>25</v>
      </c>
      <c r="U24" s="99">
        <f t="shared" si="0"/>
        <v>1.0615711252653928</v>
      </c>
      <c r="V24" s="110">
        <v>0</v>
      </c>
      <c r="W24" s="110">
        <v>1</v>
      </c>
      <c r="X24" s="110">
        <v>1</v>
      </c>
      <c r="Y24" s="110">
        <v>2</v>
      </c>
      <c r="Z24" s="110">
        <v>0</v>
      </c>
      <c r="AA24" s="97">
        <f>SUM(V24:Z24)</f>
        <v>4</v>
      </c>
      <c r="AB24" s="99">
        <f t="shared" si="1"/>
        <v>0.16985138004246284</v>
      </c>
      <c r="AC24" s="101">
        <f>0+0+0+0+0</f>
        <v>0</v>
      </c>
      <c r="AD24" s="101">
        <f>0+0+1+1+0</f>
        <v>2</v>
      </c>
      <c r="AE24" s="101">
        <f>13+5+6+8+1</f>
        <v>33</v>
      </c>
    </row>
    <row r="25" spans="1:34" s="132" customFormat="1" ht="14.4" thickBot="1" x14ac:dyDescent="0.3">
      <c r="A25" s="128" t="s">
        <v>22</v>
      </c>
      <c r="B25" s="111">
        <f>SUM(B14:B24)</f>
        <v>1706</v>
      </c>
      <c r="C25" s="111">
        <f t="shared" ref="C25:I25" si="11">SUM(C14:C24)</f>
        <v>748</v>
      </c>
      <c r="D25" s="111">
        <f t="shared" si="11"/>
        <v>2833</v>
      </c>
      <c r="E25" s="111">
        <f t="shared" si="11"/>
        <v>2781</v>
      </c>
      <c r="F25" s="111">
        <f t="shared" si="11"/>
        <v>1011</v>
      </c>
      <c r="G25" s="102">
        <f t="shared" si="11"/>
        <v>9079</v>
      </c>
      <c r="H25" s="111">
        <f t="shared" si="11"/>
        <v>8</v>
      </c>
      <c r="I25" s="111">
        <f t="shared" si="11"/>
        <v>2</v>
      </c>
      <c r="J25" s="111">
        <f>SUM(J14:J24)</f>
        <v>9</v>
      </c>
      <c r="K25" s="111">
        <f t="shared" ref="K25:L25" si="12">SUM(K14:K24)</f>
        <v>14</v>
      </c>
      <c r="L25" s="111">
        <f t="shared" si="12"/>
        <v>7</v>
      </c>
      <c r="M25" s="103">
        <f>SUM(M14:M24)</f>
        <v>40</v>
      </c>
      <c r="N25" s="104">
        <f t="shared" si="3"/>
        <v>0.44057715607445752</v>
      </c>
      <c r="O25" s="111">
        <f t="shared" ref="O25:T25" si="13">SUM(O14:O24)</f>
        <v>12</v>
      </c>
      <c r="P25" s="111">
        <f t="shared" si="13"/>
        <v>3</v>
      </c>
      <c r="Q25" s="111">
        <f t="shared" si="13"/>
        <v>15</v>
      </c>
      <c r="R25" s="111">
        <f>SUM(R14:R24)</f>
        <v>33</v>
      </c>
      <c r="S25" s="111">
        <f t="shared" si="13"/>
        <v>6</v>
      </c>
      <c r="T25" s="103">
        <f t="shared" si="13"/>
        <v>69</v>
      </c>
      <c r="U25" s="104">
        <f t="shared" si="0"/>
        <v>0.75999559422843921</v>
      </c>
      <c r="V25" s="111">
        <f t="shared" ref="V25:AA25" si="14">SUM(V14:V24)</f>
        <v>5</v>
      </c>
      <c r="W25" s="111">
        <f t="shared" si="14"/>
        <v>2</v>
      </c>
      <c r="X25" s="111">
        <f t="shared" si="14"/>
        <v>9</v>
      </c>
      <c r="Y25" s="111">
        <f t="shared" si="14"/>
        <v>4</v>
      </c>
      <c r="Z25" s="111">
        <f t="shared" si="14"/>
        <v>4</v>
      </c>
      <c r="AA25" s="103">
        <f t="shared" si="14"/>
        <v>24</v>
      </c>
      <c r="AB25" s="104">
        <f t="shared" si="1"/>
        <v>0.26434629364467455</v>
      </c>
      <c r="AC25" s="107">
        <f>SUM(AC14:AC24)</f>
        <v>7</v>
      </c>
      <c r="AD25" s="107">
        <f>SUM(AD14:AD24)</f>
        <v>4</v>
      </c>
      <c r="AE25" s="107">
        <f>SUM(AE14:AE24)</f>
        <v>171</v>
      </c>
    </row>
    <row r="26" spans="1:34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4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4" ht="14.4" thickBot="1" x14ac:dyDescent="0.3">
      <c r="A28" s="89" t="s">
        <v>15</v>
      </c>
      <c r="B28" s="97">
        <v>2815</v>
      </c>
      <c r="C28" s="97">
        <v>1801</v>
      </c>
      <c r="D28" s="97">
        <v>3602</v>
      </c>
      <c r="E28" s="97">
        <v>3044</v>
      </c>
      <c r="F28" s="97">
        <v>2915</v>
      </c>
      <c r="G28" s="98">
        <f>SUM(B28:F28)</f>
        <v>14177</v>
      </c>
      <c r="H28" s="97">
        <v>3</v>
      </c>
      <c r="I28" s="97">
        <v>2</v>
      </c>
      <c r="J28" s="97">
        <v>1</v>
      </c>
      <c r="K28" s="97">
        <v>5</v>
      </c>
      <c r="L28" s="97">
        <v>0</v>
      </c>
      <c r="M28" s="97">
        <f t="shared" ref="M28:M36" si="15">SUM(H28:L28)</f>
        <v>11</v>
      </c>
      <c r="N28" s="99">
        <f t="shared" si="3"/>
        <v>7.7590463426677012E-2</v>
      </c>
      <c r="O28" s="97">
        <v>4</v>
      </c>
      <c r="P28" s="97">
        <v>3</v>
      </c>
      <c r="Q28" s="97">
        <v>0</v>
      </c>
      <c r="R28" s="97">
        <v>11</v>
      </c>
      <c r="S28" s="97">
        <v>5</v>
      </c>
      <c r="T28" s="97">
        <f>SUM(O28:S28)</f>
        <v>23</v>
      </c>
      <c r="U28" s="99">
        <f t="shared" si="0"/>
        <v>0.16223460534668829</v>
      </c>
      <c r="V28" s="97">
        <v>1</v>
      </c>
      <c r="W28" s="97">
        <v>1</v>
      </c>
      <c r="X28" s="97">
        <v>1</v>
      </c>
      <c r="Y28" s="97">
        <v>2</v>
      </c>
      <c r="Z28" s="97">
        <v>0</v>
      </c>
      <c r="AA28" s="97">
        <f t="shared" ref="AA28:AA36" si="16">SUM(V28:Z28)</f>
        <v>5</v>
      </c>
      <c r="AB28" s="99">
        <f t="shared" si="1"/>
        <v>3.5268392466671371E-2</v>
      </c>
      <c r="AC28" s="101">
        <f>0+0+0+1+1</f>
        <v>2</v>
      </c>
      <c r="AD28" s="101">
        <f>0+1+0+0+0</f>
        <v>1</v>
      </c>
      <c r="AE28" s="101">
        <f>5+8+7+13+3</f>
        <v>36</v>
      </c>
    </row>
    <row r="29" spans="1:34" ht="14.4" thickBot="1" x14ac:dyDescent="0.3">
      <c r="A29" s="89" t="s">
        <v>16</v>
      </c>
      <c r="B29" s="97">
        <v>1141</v>
      </c>
      <c r="C29" s="97">
        <v>731</v>
      </c>
      <c r="D29" s="97">
        <v>1623</v>
      </c>
      <c r="E29" s="97">
        <v>1411</v>
      </c>
      <c r="F29" s="97">
        <v>853</v>
      </c>
      <c r="G29" s="98">
        <f t="shared" ref="G29:G36" si="17">SUM(B29:F29)</f>
        <v>5759</v>
      </c>
      <c r="H29" s="97">
        <v>3</v>
      </c>
      <c r="I29" s="97">
        <v>3</v>
      </c>
      <c r="J29" s="97">
        <v>10</v>
      </c>
      <c r="K29" s="97">
        <v>5</v>
      </c>
      <c r="L29" s="97">
        <v>3</v>
      </c>
      <c r="M29" s="97">
        <f t="shared" si="15"/>
        <v>24</v>
      </c>
      <c r="N29" s="99">
        <f t="shared" si="3"/>
        <v>0.41673901719048445</v>
      </c>
      <c r="O29" s="97">
        <v>4</v>
      </c>
      <c r="P29" s="97">
        <v>0</v>
      </c>
      <c r="Q29" s="97">
        <v>8</v>
      </c>
      <c r="R29" s="97">
        <v>5</v>
      </c>
      <c r="S29" s="97">
        <v>3</v>
      </c>
      <c r="T29" s="97">
        <f t="shared" ref="T29:T36" si="18">SUM(O29:S29)</f>
        <v>20</v>
      </c>
      <c r="U29" s="99">
        <f t="shared" si="0"/>
        <v>0.34728251432540369</v>
      </c>
      <c r="V29" s="97">
        <v>0</v>
      </c>
      <c r="W29" s="97">
        <v>4</v>
      </c>
      <c r="X29" s="97">
        <v>3</v>
      </c>
      <c r="Y29" s="97">
        <v>1</v>
      </c>
      <c r="Z29" s="97">
        <v>0</v>
      </c>
      <c r="AA29" s="97">
        <f t="shared" si="16"/>
        <v>8</v>
      </c>
      <c r="AB29" s="99">
        <f t="shared" si="1"/>
        <v>0.13891300573016149</v>
      </c>
      <c r="AC29" s="101">
        <f>0+4+0+2+2</f>
        <v>8</v>
      </c>
      <c r="AD29" s="101">
        <f>0+0+1+0+3</f>
        <v>4</v>
      </c>
      <c r="AE29" s="101">
        <f>2+5+21+6+3</f>
        <v>37</v>
      </c>
    </row>
    <row r="30" spans="1:34" ht="14.4" thickBot="1" x14ac:dyDescent="0.3">
      <c r="A30" s="89" t="s">
        <v>34</v>
      </c>
      <c r="B30" s="97">
        <v>871</v>
      </c>
      <c r="C30" s="97">
        <v>621</v>
      </c>
      <c r="D30" s="97">
        <v>913</v>
      </c>
      <c r="E30" s="97">
        <v>864</v>
      </c>
      <c r="F30" s="97">
        <v>1110</v>
      </c>
      <c r="G30" s="98">
        <f t="shared" si="17"/>
        <v>4379</v>
      </c>
      <c r="H30" s="97">
        <v>1</v>
      </c>
      <c r="I30" s="97">
        <v>2</v>
      </c>
      <c r="J30" s="97">
        <v>0</v>
      </c>
      <c r="K30" s="97">
        <v>2</v>
      </c>
      <c r="L30" s="97">
        <v>0</v>
      </c>
      <c r="M30" s="97">
        <f t="shared" si="15"/>
        <v>5</v>
      </c>
      <c r="N30" s="99">
        <f t="shared" si="3"/>
        <v>0.11418131993605846</v>
      </c>
      <c r="O30" s="97">
        <v>3</v>
      </c>
      <c r="P30" s="97">
        <v>3</v>
      </c>
      <c r="Q30" s="97">
        <v>4</v>
      </c>
      <c r="R30" s="97">
        <v>6</v>
      </c>
      <c r="S30" s="97">
        <v>2</v>
      </c>
      <c r="T30" s="97">
        <f t="shared" si="18"/>
        <v>18</v>
      </c>
      <c r="U30" s="99">
        <f t="shared" si="0"/>
        <v>0.41105275176981043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f t="shared" si="16"/>
        <v>0</v>
      </c>
      <c r="AB30" s="99">
        <f t="shared" si="1"/>
        <v>0</v>
      </c>
      <c r="AC30" s="101">
        <f>1+0+0+2+0</f>
        <v>3</v>
      </c>
      <c r="AD30" s="101">
        <f>0+0+1+0+0</f>
        <v>1</v>
      </c>
      <c r="AE30" s="101">
        <f>2+5+3+8+0</f>
        <v>18</v>
      </c>
    </row>
    <row r="31" spans="1:34" ht="14.4" thickBot="1" x14ac:dyDescent="0.3">
      <c r="A31" s="89" t="s">
        <v>17</v>
      </c>
      <c r="B31" s="97">
        <v>6622</v>
      </c>
      <c r="C31" s="97">
        <v>3630</v>
      </c>
      <c r="D31" s="97">
        <v>8366</v>
      </c>
      <c r="E31" s="97">
        <v>7356</v>
      </c>
      <c r="F31" s="97">
        <v>5621</v>
      </c>
      <c r="G31" s="98">
        <f t="shared" si="17"/>
        <v>31595</v>
      </c>
      <c r="H31" s="97">
        <v>2</v>
      </c>
      <c r="I31" s="97">
        <v>1</v>
      </c>
      <c r="J31" s="97">
        <v>3</v>
      </c>
      <c r="K31" s="97">
        <v>6</v>
      </c>
      <c r="L31" s="97">
        <v>2</v>
      </c>
      <c r="M31" s="97">
        <f t="shared" si="15"/>
        <v>14</v>
      </c>
      <c r="N31" s="99">
        <f t="shared" si="3"/>
        <v>4.431080867225827E-2</v>
      </c>
      <c r="O31" s="97">
        <v>3</v>
      </c>
      <c r="P31" s="97">
        <v>1</v>
      </c>
      <c r="Q31" s="97">
        <v>5</v>
      </c>
      <c r="R31" s="97">
        <v>7</v>
      </c>
      <c r="S31" s="97">
        <v>2</v>
      </c>
      <c r="T31" s="97">
        <f t="shared" si="18"/>
        <v>18</v>
      </c>
      <c r="U31" s="99">
        <f t="shared" si="0"/>
        <v>5.6971039721474916E-2</v>
      </c>
      <c r="V31" s="97">
        <v>3</v>
      </c>
      <c r="W31" s="97">
        <v>1</v>
      </c>
      <c r="X31" s="97">
        <v>3</v>
      </c>
      <c r="Y31" s="97">
        <v>2</v>
      </c>
      <c r="Z31" s="97">
        <v>1</v>
      </c>
      <c r="AA31" s="97">
        <f t="shared" si="16"/>
        <v>10</v>
      </c>
      <c r="AB31" s="99">
        <f t="shared" si="1"/>
        <v>3.1650577623041617E-2</v>
      </c>
      <c r="AC31" s="101">
        <f>0+1+0+0+1</f>
        <v>2</v>
      </c>
      <c r="AD31" s="101">
        <f>0+0+0+0+0</f>
        <v>0</v>
      </c>
      <c r="AE31" s="101">
        <f>12+9+31+29+1</f>
        <v>82</v>
      </c>
      <c r="AH31" t="s">
        <v>52</v>
      </c>
    </row>
    <row r="32" spans="1:34" ht="14.4" thickBot="1" x14ac:dyDescent="0.3">
      <c r="A32" s="89" t="s">
        <v>18</v>
      </c>
      <c r="B32" s="97">
        <v>1618</v>
      </c>
      <c r="C32" s="97">
        <v>1166</v>
      </c>
      <c r="D32" s="97">
        <v>1106</v>
      </c>
      <c r="E32" s="97">
        <v>1557</v>
      </c>
      <c r="F32" s="97">
        <v>2944</v>
      </c>
      <c r="G32" s="98">
        <f t="shared" si="17"/>
        <v>8391</v>
      </c>
      <c r="H32" s="97">
        <v>3</v>
      </c>
      <c r="I32" s="97">
        <v>1</v>
      </c>
      <c r="J32" s="97">
        <v>2</v>
      </c>
      <c r="K32" s="97">
        <v>0</v>
      </c>
      <c r="L32" s="97">
        <v>3</v>
      </c>
      <c r="M32" s="97">
        <f t="shared" si="15"/>
        <v>9</v>
      </c>
      <c r="N32" s="99">
        <f t="shared" si="3"/>
        <v>0.10725777618877369</v>
      </c>
      <c r="O32" s="97">
        <v>3</v>
      </c>
      <c r="P32" s="97">
        <v>3</v>
      </c>
      <c r="Q32" s="97">
        <v>1</v>
      </c>
      <c r="R32" s="97">
        <v>1</v>
      </c>
      <c r="S32" s="97">
        <v>4</v>
      </c>
      <c r="T32" s="97">
        <f t="shared" si="18"/>
        <v>12</v>
      </c>
      <c r="U32" s="99">
        <f t="shared" si="0"/>
        <v>0.14301036825169824</v>
      </c>
      <c r="V32" s="97">
        <v>3</v>
      </c>
      <c r="W32" s="97">
        <v>0</v>
      </c>
      <c r="X32" s="97">
        <v>1</v>
      </c>
      <c r="Y32" s="97">
        <v>2</v>
      </c>
      <c r="Z32" s="97">
        <v>2</v>
      </c>
      <c r="AA32" s="97">
        <f t="shared" si="16"/>
        <v>8</v>
      </c>
      <c r="AB32" s="99">
        <f t="shared" si="1"/>
        <v>9.5340245501132168E-2</v>
      </c>
      <c r="AC32" s="101">
        <f>2+0+0+0+0</f>
        <v>2</v>
      </c>
      <c r="AD32" s="101">
        <f>0+1+0+0+0</f>
        <v>1</v>
      </c>
      <c r="AE32" s="101">
        <f>3+1+8+16+1</f>
        <v>29</v>
      </c>
    </row>
    <row r="33" spans="1:32" ht="14.4" thickBot="1" x14ac:dyDescent="0.3">
      <c r="A33" s="89" t="s">
        <v>19</v>
      </c>
      <c r="B33" s="97">
        <v>8576</v>
      </c>
      <c r="C33" s="97">
        <v>5321</v>
      </c>
      <c r="D33" s="97">
        <v>10989</v>
      </c>
      <c r="E33" s="97">
        <v>8905</v>
      </c>
      <c r="F33" s="97">
        <v>6350</v>
      </c>
      <c r="G33" s="98">
        <f t="shared" si="17"/>
        <v>40141</v>
      </c>
      <c r="H33" s="97">
        <v>24</v>
      </c>
      <c r="I33" s="97">
        <v>15</v>
      </c>
      <c r="J33" s="97">
        <v>37</v>
      </c>
      <c r="K33" s="97">
        <v>31</v>
      </c>
      <c r="L33" s="97">
        <v>16</v>
      </c>
      <c r="M33" s="97">
        <f t="shared" si="15"/>
        <v>123</v>
      </c>
      <c r="N33" s="99">
        <f t="shared" si="3"/>
        <v>0.30641986995839665</v>
      </c>
      <c r="O33" s="97">
        <v>16</v>
      </c>
      <c r="P33" s="97">
        <v>20</v>
      </c>
      <c r="Q33" s="97">
        <v>51</v>
      </c>
      <c r="R33" s="97">
        <v>33</v>
      </c>
      <c r="S33" s="97">
        <v>10</v>
      </c>
      <c r="T33" s="97">
        <f t="shared" si="18"/>
        <v>130</v>
      </c>
      <c r="U33" s="99">
        <f t="shared" si="0"/>
        <v>0.32385839914302084</v>
      </c>
      <c r="V33" s="97">
        <v>20</v>
      </c>
      <c r="W33" s="97">
        <v>15</v>
      </c>
      <c r="X33" s="97">
        <v>24</v>
      </c>
      <c r="Y33" s="97">
        <v>4</v>
      </c>
      <c r="Z33" s="97">
        <v>4</v>
      </c>
      <c r="AA33" s="97">
        <f t="shared" si="16"/>
        <v>67</v>
      </c>
      <c r="AB33" s="99">
        <f t="shared" si="1"/>
        <v>0.16691163648140306</v>
      </c>
      <c r="AC33" s="101">
        <f>14+11+5+6+3</f>
        <v>39</v>
      </c>
      <c r="AD33" s="101">
        <f>1+1+2+4+2</f>
        <v>10</v>
      </c>
      <c r="AE33" s="101">
        <f>30+43+108+54+13</f>
        <v>248</v>
      </c>
    </row>
    <row r="34" spans="1:32" ht="14.4" thickBot="1" x14ac:dyDescent="0.3">
      <c r="A34" s="89" t="s">
        <v>20</v>
      </c>
      <c r="B34" s="97">
        <v>7128</v>
      </c>
      <c r="C34" s="97">
        <v>4820</v>
      </c>
      <c r="D34" s="97">
        <v>8442</v>
      </c>
      <c r="E34" s="97">
        <v>9113</v>
      </c>
      <c r="F34" s="97">
        <v>4428</v>
      </c>
      <c r="G34" s="98">
        <f t="shared" si="17"/>
        <v>33931</v>
      </c>
      <c r="H34" s="97">
        <v>12</v>
      </c>
      <c r="I34" s="97">
        <v>4</v>
      </c>
      <c r="J34" s="97">
        <v>21</v>
      </c>
      <c r="K34" s="97">
        <v>12</v>
      </c>
      <c r="L34" s="97">
        <v>1</v>
      </c>
      <c r="M34" s="97">
        <f t="shared" si="15"/>
        <v>50</v>
      </c>
      <c r="N34" s="99">
        <f t="shared" si="3"/>
        <v>0.14735787333117209</v>
      </c>
      <c r="O34" s="97">
        <v>12</v>
      </c>
      <c r="P34" s="97">
        <v>7</v>
      </c>
      <c r="Q34" s="97">
        <v>12</v>
      </c>
      <c r="R34" s="97">
        <v>20</v>
      </c>
      <c r="S34" s="97">
        <v>4</v>
      </c>
      <c r="T34" s="97">
        <f t="shared" si="18"/>
        <v>55</v>
      </c>
      <c r="U34" s="99">
        <f t="shared" si="0"/>
        <v>0.16209366066428929</v>
      </c>
      <c r="V34" s="97">
        <v>16</v>
      </c>
      <c r="W34" s="97">
        <v>7</v>
      </c>
      <c r="X34" s="97">
        <v>8</v>
      </c>
      <c r="Y34" s="97">
        <v>3</v>
      </c>
      <c r="Z34" s="97">
        <v>3</v>
      </c>
      <c r="AA34" s="97">
        <f t="shared" si="16"/>
        <v>37</v>
      </c>
      <c r="AB34" s="99">
        <f t="shared" si="1"/>
        <v>0.10904482626506734</v>
      </c>
      <c r="AC34" s="101">
        <f>6+5+1+9+1</f>
        <v>22</v>
      </c>
      <c r="AD34" s="101">
        <f>2+0+1+1+1</f>
        <v>5</v>
      </c>
      <c r="AE34" s="101">
        <f>31+29+78+36+9</f>
        <v>183</v>
      </c>
    </row>
    <row r="35" spans="1:32" ht="14.4" thickBot="1" x14ac:dyDescent="0.3">
      <c r="A35" s="89" t="s">
        <v>25</v>
      </c>
      <c r="B35" s="97">
        <v>236</v>
      </c>
      <c r="C35" s="97">
        <v>108</v>
      </c>
      <c r="D35" s="97">
        <v>1290</v>
      </c>
      <c r="E35" s="97">
        <v>132</v>
      </c>
      <c r="F35" s="97">
        <v>111</v>
      </c>
      <c r="G35" s="98">
        <f t="shared" si="17"/>
        <v>1877</v>
      </c>
      <c r="H35" s="97">
        <v>0</v>
      </c>
      <c r="I35" s="97">
        <v>15</v>
      </c>
      <c r="J35" s="97">
        <v>1</v>
      </c>
      <c r="K35" s="97">
        <v>0</v>
      </c>
      <c r="L35" s="97">
        <v>0</v>
      </c>
      <c r="M35" s="97">
        <f t="shared" si="15"/>
        <v>16</v>
      </c>
      <c r="N35" s="99">
        <f t="shared" si="3"/>
        <v>0.85242408098028766</v>
      </c>
      <c r="O35" s="97">
        <v>1</v>
      </c>
      <c r="P35" s="97">
        <v>0</v>
      </c>
      <c r="Q35" s="97">
        <v>1</v>
      </c>
      <c r="R35" s="97">
        <v>1</v>
      </c>
      <c r="S35" s="97">
        <v>0</v>
      </c>
      <c r="T35" s="97">
        <f t="shared" si="18"/>
        <v>3</v>
      </c>
      <c r="U35" s="99">
        <f t="shared" si="0"/>
        <v>0.15982951518380395</v>
      </c>
      <c r="V35" s="97">
        <v>1</v>
      </c>
      <c r="W35" s="97">
        <v>0</v>
      </c>
      <c r="X35" s="97">
        <v>0</v>
      </c>
      <c r="Y35" s="97">
        <v>0</v>
      </c>
      <c r="Z35" s="97">
        <v>0</v>
      </c>
      <c r="AA35" s="97">
        <f t="shared" si="16"/>
        <v>1</v>
      </c>
      <c r="AB35" s="99">
        <f t="shared" si="1"/>
        <v>5.3276505061267979E-2</v>
      </c>
      <c r="AC35" s="101">
        <f>1+0+0+0+0</f>
        <v>1</v>
      </c>
      <c r="AD35" s="101">
        <f>0+0+0+0+0</f>
        <v>0</v>
      </c>
      <c r="AE35" s="101">
        <f>2+1+1+2+0</f>
        <v>6</v>
      </c>
    </row>
    <row r="36" spans="1:32" ht="14.4" thickBot="1" x14ac:dyDescent="0.3">
      <c r="A36" s="89" t="s">
        <v>26</v>
      </c>
      <c r="B36" s="97">
        <v>88777</v>
      </c>
      <c r="C36" s="97">
        <v>58236</v>
      </c>
      <c r="D36" s="97">
        <v>128607</v>
      </c>
      <c r="E36" s="97">
        <v>117069</v>
      </c>
      <c r="F36" s="97">
        <v>67522</v>
      </c>
      <c r="G36" s="98">
        <f t="shared" si="17"/>
        <v>460211</v>
      </c>
      <c r="H36" s="97">
        <v>136</v>
      </c>
      <c r="I36" s="97">
        <v>50</v>
      </c>
      <c r="J36" s="97">
        <v>224</v>
      </c>
      <c r="K36" s="97">
        <v>160</v>
      </c>
      <c r="L36" s="97">
        <v>55</v>
      </c>
      <c r="M36" s="97">
        <f t="shared" si="15"/>
        <v>625</v>
      </c>
      <c r="N36" s="99">
        <f t="shared" si="3"/>
        <v>0.1358072710126442</v>
      </c>
      <c r="O36" s="97">
        <v>185</v>
      </c>
      <c r="P36" s="97">
        <v>95</v>
      </c>
      <c r="Q36" s="97">
        <v>252</v>
      </c>
      <c r="R36" s="97">
        <v>227</v>
      </c>
      <c r="S36" s="97">
        <v>93</v>
      </c>
      <c r="T36" s="97">
        <f t="shared" si="18"/>
        <v>852</v>
      </c>
      <c r="U36" s="99">
        <f t="shared" si="0"/>
        <v>0.18513247184443657</v>
      </c>
      <c r="V36" s="97">
        <v>205</v>
      </c>
      <c r="W36" s="97">
        <v>51</v>
      </c>
      <c r="X36" s="97">
        <v>129</v>
      </c>
      <c r="Y36" s="97">
        <v>87</v>
      </c>
      <c r="Z36" s="97">
        <v>37</v>
      </c>
      <c r="AA36" s="97">
        <f t="shared" si="16"/>
        <v>509</v>
      </c>
      <c r="AB36" s="99">
        <f t="shared" si="1"/>
        <v>0.11060144151269743</v>
      </c>
      <c r="AC36" s="101">
        <f>54+31+25+30+24</f>
        <v>164</v>
      </c>
      <c r="AD36" s="101">
        <f>7+3+10+22+25</f>
        <v>67</v>
      </c>
      <c r="AE36" s="97">
        <f>455+336+969+798+132</f>
        <v>2690</v>
      </c>
    </row>
    <row r="37" spans="1:32" ht="14.4" thickBot="1" x14ac:dyDescent="0.3">
      <c r="A37" s="128" t="s">
        <v>21</v>
      </c>
      <c r="B37" s="111">
        <f t="shared" ref="B37:M37" si="19">SUM(B28:B36)</f>
        <v>117784</v>
      </c>
      <c r="C37" s="111">
        <f t="shared" si="19"/>
        <v>76434</v>
      </c>
      <c r="D37" s="111">
        <f t="shared" si="19"/>
        <v>164938</v>
      </c>
      <c r="E37" s="111">
        <f>SUM(E28:E36)</f>
        <v>149451</v>
      </c>
      <c r="F37" s="111">
        <f t="shared" si="19"/>
        <v>91854</v>
      </c>
      <c r="G37" s="98">
        <f t="shared" si="19"/>
        <v>600461</v>
      </c>
      <c r="H37" s="111">
        <f t="shared" si="19"/>
        <v>184</v>
      </c>
      <c r="I37" s="111">
        <f t="shared" si="19"/>
        <v>93</v>
      </c>
      <c r="J37" s="111">
        <f t="shared" si="19"/>
        <v>299</v>
      </c>
      <c r="K37" s="111">
        <f>SUM(K28:K36)</f>
        <v>221</v>
      </c>
      <c r="L37" s="111">
        <f t="shared" si="19"/>
        <v>80</v>
      </c>
      <c r="M37" s="103">
        <f t="shared" si="19"/>
        <v>877</v>
      </c>
      <c r="N37" s="104">
        <f t="shared" si="3"/>
        <v>0.14605444816565938</v>
      </c>
      <c r="O37" s="111">
        <f t="shared" ref="O37:T37" si="20">SUM(O28:O36)</f>
        <v>231</v>
      </c>
      <c r="P37" s="111">
        <f t="shared" si="20"/>
        <v>132</v>
      </c>
      <c r="Q37" s="111">
        <f t="shared" si="20"/>
        <v>334</v>
      </c>
      <c r="R37" s="111">
        <f>SUM(R28:R36)</f>
        <v>311</v>
      </c>
      <c r="S37" s="111">
        <f t="shared" si="20"/>
        <v>123</v>
      </c>
      <c r="T37" s="103">
        <f t="shared" si="20"/>
        <v>1131</v>
      </c>
      <c r="U37" s="99">
        <f t="shared" si="0"/>
        <v>0.18835528035959037</v>
      </c>
      <c r="V37" s="111">
        <f>SUM(V28:V36)</f>
        <v>249</v>
      </c>
      <c r="W37" s="111">
        <f t="shared" ref="W37:AA37" si="21">SUM(W28:W36)</f>
        <v>79</v>
      </c>
      <c r="X37" s="111">
        <f t="shared" si="21"/>
        <v>169</v>
      </c>
      <c r="Y37" s="111">
        <f>SUM(Y28:Y36)</f>
        <v>101</v>
      </c>
      <c r="Z37" s="111">
        <f t="shared" si="21"/>
        <v>47</v>
      </c>
      <c r="AA37" s="103">
        <f t="shared" si="21"/>
        <v>645</v>
      </c>
      <c r="AB37" s="99">
        <f t="shared" si="1"/>
        <v>0.10741746757907675</v>
      </c>
      <c r="AC37" s="107">
        <f>SUM(AC28:AC36)</f>
        <v>243</v>
      </c>
      <c r="AD37" s="107">
        <f>SUM(AD28:AD36)</f>
        <v>89</v>
      </c>
      <c r="AE37" s="114">
        <f>SUM(AE28:AE36)</f>
        <v>3329</v>
      </c>
      <c r="AF37" s="21"/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287</v>
      </c>
      <c r="C40" s="97">
        <v>1356</v>
      </c>
      <c r="D40" s="97">
        <v>337</v>
      </c>
      <c r="E40" s="97">
        <v>239</v>
      </c>
      <c r="F40" s="97">
        <v>157</v>
      </c>
      <c r="G40" s="98">
        <f>SUM(B40:F40)</f>
        <v>2376</v>
      </c>
      <c r="H40" s="97">
        <v>0</v>
      </c>
      <c r="I40" s="97">
        <v>0</v>
      </c>
      <c r="J40" s="97">
        <v>0</v>
      </c>
      <c r="K40" s="97">
        <v>0</v>
      </c>
      <c r="L40" s="120">
        <v>0</v>
      </c>
      <c r="M40" s="97">
        <f>SUM(H40:L40)</f>
        <v>0</v>
      </c>
      <c r="N40" s="99">
        <f t="shared" si="3"/>
        <v>0</v>
      </c>
      <c r="O40" s="97">
        <v>1</v>
      </c>
      <c r="P40" s="97">
        <v>0</v>
      </c>
      <c r="Q40" s="97">
        <v>2</v>
      </c>
      <c r="R40" s="97">
        <v>0</v>
      </c>
      <c r="S40" s="97">
        <v>1</v>
      </c>
      <c r="T40" s="97">
        <f>SUM(O40:S40)</f>
        <v>4</v>
      </c>
      <c r="U40" s="99">
        <f t="shared" si="0"/>
        <v>0.16835016835016836</v>
      </c>
      <c r="V40" s="133">
        <v>0</v>
      </c>
      <c r="W40" s="133">
        <v>0</v>
      </c>
      <c r="X40" s="133">
        <v>0</v>
      </c>
      <c r="Y40" s="133">
        <v>0</v>
      </c>
      <c r="Z40" s="133">
        <v>1</v>
      </c>
      <c r="AA40" s="101">
        <f>SUM(V40:Z40)</f>
        <v>1</v>
      </c>
      <c r="AB40" s="99">
        <f t="shared" si="1"/>
        <v>4.208754208754209E-2</v>
      </c>
      <c r="AC40" s="101">
        <f>0+0+0+0+1</f>
        <v>1</v>
      </c>
      <c r="AD40" s="101">
        <f>0+1+0+0+0</f>
        <v>1</v>
      </c>
      <c r="AE40" s="101">
        <f>0+6+1+0+0</f>
        <v>7</v>
      </c>
    </row>
    <row r="41" spans="1:32" ht="14.4" thickBot="1" x14ac:dyDescent="0.3">
      <c r="A41" s="89" t="s">
        <v>27</v>
      </c>
      <c r="B41" s="97">
        <v>111773</v>
      </c>
      <c r="C41" s="97">
        <v>51521</v>
      </c>
      <c r="D41" s="109">
        <v>80875</v>
      </c>
      <c r="E41" s="97">
        <v>78900</v>
      </c>
      <c r="F41" s="97">
        <v>76656</v>
      </c>
      <c r="G41" s="98">
        <f>SUM(B41:F41)</f>
        <v>399725</v>
      </c>
      <c r="H41" s="97">
        <v>39</v>
      </c>
      <c r="I41" s="97">
        <v>20</v>
      </c>
      <c r="J41" s="97">
        <v>73</v>
      </c>
      <c r="K41" s="97">
        <v>27</v>
      </c>
      <c r="L41" s="97">
        <v>17</v>
      </c>
      <c r="M41" s="97">
        <f>SUM(H41:L41)</f>
        <v>176</v>
      </c>
      <c r="N41" s="99">
        <f t="shared" si="3"/>
        <v>4.4030270811182687E-2</v>
      </c>
      <c r="O41" s="97">
        <v>15</v>
      </c>
      <c r="P41" s="97">
        <v>20</v>
      </c>
      <c r="Q41" s="97">
        <v>53</v>
      </c>
      <c r="R41" s="97">
        <v>20</v>
      </c>
      <c r="S41" s="97">
        <v>9</v>
      </c>
      <c r="T41" s="97">
        <f>SUM(O41:S41)</f>
        <v>117</v>
      </c>
      <c r="U41" s="99">
        <f t="shared" si="0"/>
        <v>2.9270123209706674E-2</v>
      </c>
      <c r="V41" s="109">
        <v>19</v>
      </c>
      <c r="W41" s="109">
        <v>13</v>
      </c>
      <c r="X41" s="133">
        <v>54</v>
      </c>
      <c r="Y41" s="133">
        <v>14</v>
      </c>
      <c r="Z41" s="133">
        <v>8</v>
      </c>
      <c r="AA41" s="97">
        <f>SUM(V41:Z41)</f>
        <v>108</v>
      </c>
      <c r="AB41" s="99">
        <f t="shared" si="1"/>
        <v>2.7018575270498467E-2</v>
      </c>
      <c r="AC41" s="101">
        <f>2+1+2+6+4</f>
        <v>15</v>
      </c>
      <c r="AD41" s="101">
        <f>2+1+1+2+2</f>
        <v>8</v>
      </c>
      <c r="AE41" s="101">
        <f>38+33+207+47+34</f>
        <v>359</v>
      </c>
    </row>
    <row r="42" spans="1:32" s="132" customFormat="1" ht="14.4" thickBot="1" x14ac:dyDescent="0.3">
      <c r="A42" s="128" t="s">
        <v>21</v>
      </c>
      <c r="B42" s="111">
        <f>SUM(B40:B41)</f>
        <v>112060</v>
      </c>
      <c r="C42" s="111">
        <f>SUM(C40:C41)</f>
        <v>52877</v>
      </c>
      <c r="D42" s="111">
        <f>SUM(D40:D41)</f>
        <v>81212</v>
      </c>
      <c r="E42" s="111">
        <f>SUM(E40:E41)</f>
        <v>79139</v>
      </c>
      <c r="F42" s="111">
        <f>SUM(F40:F41)</f>
        <v>76813</v>
      </c>
      <c r="G42" s="102">
        <f t="shared" ref="G42:M42" si="22">SUM(G40:G41)</f>
        <v>402101</v>
      </c>
      <c r="H42" s="115">
        <f>SUM(H40:H41)</f>
        <v>39</v>
      </c>
      <c r="I42" s="115">
        <f>SUM(I40:I41)</f>
        <v>20</v>
      </c>
      <c r="J42" s="115">
        <f>SUM(J40:J41)</f>
        <v>73</v>
      </c>
      <c r="K42" s="115">
        <f>SUM(K40:K41)</f>
        <v>27</v>
      </c>
      <c r="L42" s="115">
        <f>SUM(L40:L41)</f>
        <v>17</v>
      </c>
      <c r="M42" s="103">
        <f t="shared" si="22"/>
        <v>176</v>
      </c>
      <c r="N42" s="104">
        <f t="shared" si="3"/>
        <v>4.3770097562552693E-2</v>
      </c>
      <c r="O42" s="111">
        <f t="shared" ref="O42:T42" si="23">SUM(O40:O41)</f>
        <v>16</v>
      </c>
      <c r="P42" s="111">
        <f t="shared" si="23"/>
        <v>20</v>
      </c>
      <c r="Q42" s="111">
        <f t="shared" si="23"/>
        <v>55</v>
      </c>
      <c r="R42" s="111">
        <f t="shared" si="23"/>
        <v>20</v>
      </c>
      <c r="S42" s="111">
        <f t="shared" si="23"/>
        <v>10</v>
      </c>
      <c r="T42" s="103">
        <f t="shared" si="23"/>
        <v>121</v>
      </c>
      <c r="U42" s="104">
        <f t="shared" si="0"/>
        <v>3.0091942074254977E-2</v>
      </c>
      <c r="V42" s="116">
        <f>SUM(V40:V41)</f>
        <v>19</v>
      </c>
      <c r="W42" s="116">
        <f t="shared" ref="W42:Z42" si="24">SUM(W40:W41)</f>
        <v>13</v>
      </c>
      <c r="X42" s="116">
        <f t="shared" si="24"/>
        <v>54</v>
      </c>
      <c r="Y42" s="116">
        <f>SUM(Y40:Y41)</f>
        <v>14</v>
      </c>
      <c r="Z42" s="116">
        <f t="shared" si="24"/>
        <v>9</v>
      </c>
      <c r="AA42" s="106">
        <f>SUM(AA40:AA41)</f>
        <v>109</v>
      </c>
      <c r="AB42" s="104">
        <f t="shared" si="1"/>
        <v>2.7107617240444564E-2</v>
      </c>
      <c r="AC42" s="107">
        <f>SUM(AC40:AC41)</f>
        <v>16</v>
      </c>
      <c r="AD42" s="107">
        <f>SUM(AD40:AD41)</f>
        <v>9</v>
      </c>
      <c r="AE42" s="107">
        <f>SUM(AE40:AE41)</f>
        <v>366</v>
      </c>
    </row>
    <row r="43" spans="1:32" s="132" customFormat="1" ht="16.2" thickBot="1" x14ac:dyDescent="0.3">
      <c r="A43" s="121" t="s">
        <v>48</v>
      </c>
      <c r="B43" s="138">
        <f>B11+B25+B37+B42</f>
        <v>232997</v>
      </c>
      <c r="C43" s="134">
        <f>C11+C25+C37+C42</f>
        <v>130631</v>
      </c>
      <c r="D43" s="138">
        <f>D11+D25+D37+D42</f>
        <v>250965</v>
      </c>
      <c r="E43" s="134">
        <f>SUM(B43:D43)</f>
        <v>614593</v>
      </c>
      <c r="F43" s="134">
        <f t="shared" ref="F43:M43" si="25">F11+F25+F37+F42</f>
        <v>170361</v>
      </c>
      <c r="G43" s="122">
        <f t="shared" si="25"/>
        <v>1018149</v>
      </c>
      <c r="H43" s="122">
        <f t="shared" si="25"/>
        <v>237</v>
      </c>
      <c r="I43" s="122">
        <f t="shared" si="25"/>
        <v>117</v>
      </c>
      <c r="J43" s="122">
        <f t="shared" si="25"/>
        <v>392</v>
      </c>
      <c r="K43" s="122">
        <f>K11+K25+K37+K42</f>
        <v>274</v>
      </c>
      <c r="L43" s="122">
        <f t="shared" si="25"/>
        <v>105</v>
      </c>
      <c r="M43" s="122">
        <f t="shared" si="25"/>
        <v>1125</v>
      </c>
      <c r="N43" s="123">
        <f t="shared" si="3"/>
        <v>0.11049463290736425</v>
      </c>
      <c r="O43" s="122">
        <f t="shared" ref="O43:T43" si="26">O11+O25+O37+O42</f>
        <v>268</v>
      </c>
      <c r="P43" s="122">
        <f t="shared" si="26"/>
        <v>164</v>
      </c>
      <c r="Q43" s="122">
        <f t="shared" si="26"/>
        <v>421</v>
      </c>
      <c r="R43" s="122">
        <f>R11+R25+R37+R42</f>
        <v>381</v>
      </c>
      <c r="S43" s="122">
        <f t="shared" si="26"/>
        <v>141</v>
      </c>
      <c r="T43" s="122">
        <f t="shared" si="26"/>
        <v>1375</v>
      </c>
      <c r="U43" s="123">
        <f t="shared" si="0"/>
        <v>0.13504899577566742</v>
      </c>
      <c r="V43" s="122">
        <f>V11+V25+V37+V42</f>
        <v>277</v>
      </c>
      <c r="W43" s="122">
        <f t="shared" ref="W43:AA43" si="27">W11+W25+W37+W42</f>
        <v>98</v>
      </c>
      <c r="X43" s="122">
        <f t="shared" si="27"/>
        <v>242</v>
      </c>
      <c r="Y43" s="122">
        <f t="shared" si="27"/>
        <v>123</v>
      </c>
      <c r="Z43" s="122">
        <f t="shared" si="27"/>
        <v>66</v>
      </c>
      <c r="AA43" s="122">
        <f t="shared" si="27"/>
        <v>806</v>
      </c>
      <c r="AB43" s="123">
        <f t="shared" si="1"/>
        <v>7.9163265887409406E-2</v>
      </c>
      <c r="AC43" s="122">
        <f>AC11+AC25+AC37+AC42</f>
        <v>279</v>
      </c>
      <c r="AD43" s="122">
        <f>AD11+AD25+AD37+AD42</f>
        <v>105</v>
      </c>
      <c r="AE43" s="122">
        <f>AE11+AE25+AE37+AE42</f>
        <v>3985</v>
      </c>
    </row>
    <row r="44" spans="1:32" ht="13.8" x14ac:dyDescent="0.25">
      <c r="A44" s="16"/>
      <c r="B44" s="163"/>
      <c r="C44" s="163"/>
      <c r="D44" s="163"/>
      <c r="E44" s="163"/>
      <c r="F44" s="163"/>
      <c r="G44" s="16"/>
      <c r="H44" s="16"/>
      <c r="I44" s="16"/>
      <c r="J44" s="16"/>
      <c r="K44" s="16"/>
      <c r="L44" s="2"/>
      <c r="M44" s="2"/>
      <c r="N44" s="2"/>
    </row>
    <row r="45" spans="1:32" ht="13.2" customHeight="1" x14ac:dyDescent="0.25">
      <c r="B45" s="164"/>
      <c r="C45" s="164"/>
      <c r="D45" s="164"/>
      <c r="E45" s="164"/>
      <c r="F45" s="164"/>
    </row>
    <row r="46" spans="1:32" ht="13.2" customHeight="1" x14ac:dyDescent="0.25">
      <c r="B46" s="164"/>
      <c r="C46" s="164"/>
      <c r="D46" s="164"/>
      <c r="E46" s="164"/>
      <c r="F46" s="164"/>
    </row>
    <row r="47" spans="1:32" ht="13.2" customHeight="1" x14ac:dyDescent="0.25">
      <c r="B47" s="164"/>
      <c r="C47" s="164"/>
      <c r="D47" s="164"/>
      <c r="E47" s="164"/>
      <c r="F47" s="164"/>
    </row>
    <row r="48" spans="1:32" ht="13.2" customHeight="1" x14ac:dyDescent="0.25">
      <c r="B48" s="164"/>
      <c r="C48" s="164"/>
      <c r="D48" s="164"/>
      <c r="E48" s="164"/>
      <c r="F48" s="164"/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87BF-C825-43A0-AF3C-7B68156B265C}">
  <dimension ref="A1:AF43"/>
  <sheetViews>
    <sheetView zoomScaleNormal="10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D40" sqref="D40"/>
    </sheetView>
  </sheetViews>
  <sheetFormatPr baseColWidth="10" defaultColWidth="11.5546875" defaultRowHeight="13.2" outlineLevelCol="1" x14ac:dyDescent="0.25"/>
  <cols>
    <col min="1" max="1" width="27.77734375" style="131" customWidth="1"/>
    <col min="2" max="6" width="10.77734375" style="131" hidden="1" customWidth="1" outlineLevel="1"/>
    <col min="7" max="7" width="10.77734375" style="132" customWidth="1" collapsed="1"/>
    <col min="8" max="12" width="10.77734375" style="131" hidden="1" customWidth="1" outlineLevel="1"/>
    <col min="13" max="13" width="10.77734375" style="131" customWidth="1" collapsed="1"/>
    <col min="14" max="14" width="10.77734375" style="131" customWidth="1"/>
    <col min="15" max="19" width="10.77734375" style="131" hidden="1" customWidth="1" outlineLevel="1"/>
    <col min="20" max="20" width="10.77734375" style="131" customWidth="1" collapsed="1"/>
    <col min="21" max="21" width="10.77734375" style="131" customWidth="1"/>
    <col min="22" max="26" width="10.77734375" style="131" hidden="1" customWidth="1" outlineLevel="1"/>
    <col min="27" max="27" width="10.77734375" style="131" customWidth="1" collapsed="1"/>
    <col min="28" max="31" width="10.77734375" style="131" customWidth="1"/>
    <col min="32" max="16384" width="11.5546875" style="131"/>
  </cols>
  <sheetData>
    <row r="1" spans="1:32" ht="24.6" x14ac:dyDescent="0.4">
      <c r="A1" s="479" t="s">
        <v>103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93"/>
    </row>
    <row r="2" spans="1:32" ht="18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</row>
    <row r="3" spans="1:32" ht="66" customHeight="1" thickTop="1" thickBot="1" x14ac:dyDescent="0.3">
      <c r="A3" s="480" t="s">
        <v>24</v>
      </c>
      <c r="B3" s="513" t="s">
        <v>0</v>
      </c>
      <c r="C3" s="514"/>
      <c r="D3" s="514"/>
      <c r="E3" s="514"/>
      <c r="F3" s="514"/>
      <c r="G3" s="515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105</v>
      </c>
      <c r="P3" s="486"/>
      <c r="Q3" s="486"/>
      <c r="R3" s="486"/>
      <c r="S3" s="486"/>
      <c r="T3" s="487"/>
      <c r="U3" s="488" t="s">
        <v>42</v>
      </c>
      <c r="V3" s="485" t="s">
        <v>43</v>
      </c>
      <c r="W3" s="486"/>
      <c r="X3" s="486"/>
      <c r="Y3" s="486"/>
      <c r="Z3" s="486"/>
      <c r="AA3" s="487"/>
      <c r="AB3" s="488" t="s">
        <v>42</v>
      </c>
      <c r="AC3" s="95" t="s">
        <v>120</v>
      </c>
      <c r="AD3" s="96" t="s">
        <v>119</v>
      </c>
      <c r="AE3" s="96" t="s">
        <v>106</v>
      </c>
      <c r="AF3" s="94"/>
    </row>
    <row r="4" spans="1:32" ht="13.8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89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2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2" ht="14.4" thickBot="1" x14ac:dyDescent="0.3">
      <c r="A6" s="89" t="s">
        <v>1</v>
      </c>
      <c r="B6" s="97">
        <v>84</v>
      </c>
      <c r="C6" s="97">
        <v>49</v>
      </c>
      <c r="D6" s="97">
        <v>81</v>
      </c>
      <c r="E6" s="137">
        <v>93</v>
      </c>
      <c r="F6" s="97">
        <v>42</v>
      </c>
      <c r="G6" s="98">
        <f>SUM(B6:F6)</f>
        <v>349</v>
      </c>
      <c r="H6" s="97">
        <v>0</v>
      </c>
      <c r="I6" s="97">
        <v>1</v>
      </c>
      <c r="J6" s="97">
        <v>1</v>
      </c>
      <c r="K6" s="97">
        <v>0</v>
      </c>
      <c r="L6" s="97">
        <v>0</v>
      </c>
      <c r="M6" s="101">
        <f>SUM(H6:L6)</f>
        <v>2</v>
      </c>
      <c r="N6" s="99">
        <f>M6*100/G6</f>
        <v>0.57306590257879653</v>
      </c>
      <c r="O6" s="97">
        <v>0</v>
      </c>
      <c r="P6" s="97">
        <v>1</v>
      </c>
      <c r="Q6" s="97">
        <v>1</v>
      </c>
      <c r="R6" s="97">
        <v>0</v>
      </c>
      <c r="S6" s="97">
        <v>0</v>
      </c>
      <c r="T6" s="101">
        <f>SUM(O6:S6)</f>
        <v>2</v>
      </c>
      <c r="U6" s="99">
        <f>T6*100/G6</f>
        <v>0.57306590257879653</v>
      </c>
      <c r="V6" s="97">
        <v>1</v>
      </c>
      <c r="W6" s="97">
        <v>0</v>
      </c>
      <c r="X6" s="97">
        <v>0</v>
      </c>
      <c r="Y6" s="97">
        <v>0</v>
      </c>
      <c r="Z6" s="97">
        <v>0</v>
      </c>
      <c r="AA6" s="97">
        <f>SUM(V6:Z6)</f>
        <v>1</v>
      </c>
      <c r="AB6" s="99">
        <f>AA6*100/G6</f>
        <v>0.28653295128939826</v>
      </c>
      <c r="AC6" s="101">
        <v>0</v>
      </c>
      <c r="AD6" s="101">
        <v>1</v>
      </c>
      <c r="AE6" s="101">
        <v>17</v>
      </c>
    </row>
    <row r="7" spans="1:32" ht="14.4" thickBot="1" x14ac:dyDescent="0.3">
      <c r="A7" s="90" t="s">
        <v>2</v>
      </c>
      <c r="B7" s="97">
        <v>496</v>
      </c>
      <c r="C7" s="97">
        <v>220</v>
      </c>
      <c r="D7" s="97">
        <v>703</v>
      </c>
      <c r="E7" s="137">
        <v>716</v>
      </c>
      <c r="F7" s="97">
        <v>300</v>
      </c>
      <c r="G7" s="98">
        <f>SUM(B7:F7)</f>
        <v>2435</v>
      </c>
      <c r="H7" s="97">
        <v>2</v>
      </c>
      <c r="I7" s="97">
        <v>2</v>
      </c>
      <c r="J7" s="97">
        <v>0</v>
      </c>
      <c r="K7" s="97">
        <v>1</v>
      </c>
      <c r="L7" s="97">
        <v>0</v>
      </c>
      <c r="M7" s="97">
        <f>SUM(H7:L7)</f>
        <v>5</v>
      </c>
      <c r="N7" s="99">
        <f>M7*100/G7</f>
        <v>0.20533880903490759</v>
      </c>
      <c r="O7" s="97">
        <v>2</v>
      </c>
      <c r="P7" s="97">
        <v>3</v>
      </c>
      <c r="Q7" s="97">
        <v>6</v>
      </c>
      <c r="R7" s="97">
        <v>4</v>
      </c>
      <c r="S7" s="97">
        <v>0</v>
      </c>
      <c r="T7" s="97">
        <f>SUM(O7:S7)</f>
        <v>15</v>
      </c>
      <c r="U7" s="99">
        <f>T7*100/G7</f>
        <v>0.61601642710472282</v>
      </c>
      <c r="V7" s="97">
        <v>4</v>
      </c>
      <c r="W7" s="97">
        <v>0</v>
      </c>
      <c r="X7" s="97">
        <v>3</v>
      </c>
      <c r="Y7" s="97">
        <v>2</v>
      </c>
      <c r="Z7" s="97">
        <v>0</v>
      </c>
      <c r="AA7" s="97">
        <f>SUM(V7:Z7)</f>
        <v>9</v>
      </c>
      <c r="AB7" s="99">
        <f>AA7*100/G7</f>
        <v>0.36960985626283366</v>
      </c>
      <c r="AC7" s="101">
        <v>2</v>
      </c>
      <c r="AD7" s="101">
        <v>3</v>
      </c>
      <c r="AE7" s="101">
        <v>67</v>
      </c>
    </row>
    <row r="8" spans="1:32" ht="14.4" thickBot="1" x14ac:dyDescent="0.3">
      <c r="A8" s="90" t="s">
        <v>14</v>
      </c>
      <c r="B8" s="97">
        <v>49</v>
      </c>
      <c r="C8" s="97">
        <v>39</v>
      </c>
      <c r="D8" s="97">
        <v>71</v>
      </c>
      <c r="E8" s="137">
        <v>97</v>
      </c>
      <c r="F8" s="97">
        <v>34</v>
      </c>
      <c r="G8" s="98">
        <f>SUM(B8:F8)</f>
        <v>290</v>
      </c>
      <c r="H8" s="97">
        <v>0</v>
      </c>
      <c r="I8" s="97">
        <v>0</v>
      </c>
      <c r="J8" s="97">
        <v>1</v>
      </c>
      <c r="K8" s="97">
        <v>2</v>
      </c>
      <c r="L8" s="97">
        <v>0</v>
      </c>
      <c r="M8" s="101">
        <f>SUM(H8:L8)</f>
        <v>3</v>
      </c>
      <c r="N8" s="99">
        <f>M8*100/G8</f>
        <v>1.0344827586206897</v>
      </c>
      <c r="O8" s="97">
        <v>0</v>
      </c>
      <c r="P8" s="97">
        <v>0</v>
      </c>
      <c r="Q8" s="97">
        <v>0</v>
      </c>
      <c r="R8" s="97">
        <v>0</v>
      </c>
      <c r="S8" s="97">
        <v>0</v>
      </c>
      <c r="T8" s="101">
        <f>SUM(O8:S8)</f>
        <v>0</v>
      </c>
      <c r="U8" s="99">
        <f t="shared" ref="U8:U43" si="0">T8*100/G8</f>
        <v>0</v>
      </c>
      <c r="V8" s="97">
        <v>0</v>
      </c>
      <c r="W8" s="97">
        <v>0</v>
      </c>
      <c r="X8" s="97">
        <v>0</v>
      </c>
      <c r="Y8" s="97">
        <v>0</v>
      </c>
      <c r="Z8" s="97">
        <v>0</v>
      </c>
      <c r="AA8" s="97">
        <f>SUM(V8:Z8)</f>
        <v>0</v>
      </c>
      <c r="AB8" s="99">
        <f t="shared" ref="AB8:AB43" si="1">AA8*100/G8</f>
        <v>0</v>
      </c>
      <c r="AC8" s="101">
        <f>0+0+0+0+0</f>
        <v>0</v>
      </c>
      <c r="AD8" s="101">
        <v>0</v>
      </c>
      <c r="AE8" s="101">
        <v>7</v>
      </c>
    </row>
    <row r="9" spans="1:32" ht="14.4" thickBot="1" x14ac:dyDescent="0.3">
      <c r="A9" s="90" t="s">
        <v>3</v>
      </c>
      <c r="B9" s="97">
        <v>77</v>
      </c>
      <c r="C9" s="97">
        <v>75</v>
      </c>
      <c r="D9" s="97">
        <v>130</v>
      </c>
      <c r="E9" s="137">
        <v>113</v>
      </c>
      <c r="F9" s="97">
        <v>34</v>
      </c>
      <c r="G9" s="98">
        <f>SUM(B9:F9)</f>
        <v>429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f>SUM(H9:L9)</f>
        <v>0</v>
      </c>
      <c r="N9" s="99">
        <f>M9*100/G9</f>
        <v>0</v>
      </c>
      <c r="O9" s="97">
        <v>0</v>
      </c>
      <c r="P9" s="97">
        <v>0</v>
      </c>
      <c r="Q9" s="97">
        <v>1</v>
      </c>
      <c r="R9" s="97">
        <v>1</v>
      </c>
      <c r="S9" s="97">
        <v>1</v>
      </c>
      <c r="T9" s="97">
        <f>SUM(O9:S9)</f>
        <v>3</v>
      </c>
      <c r="U9" s="99">
        <f t="shared" si="0"/>
        <v>0.69930069930069927</v>
      </c>
      <c r="V9" s="97">
        <v>0</v>
      </c>
      <c r="W9" s="97">
        <v>0</v>
      </c>
      <c r="X9" s="97">
        <v>0</v>
      </c>
      <c r="Y9" s="97">
        <v>0</v>
      </c>
      <c r="Z9" s="97">
        <v>0</v>
      </c>
      <c r="AA9" s="97">
        <f>SUM(V9:Z9)</f>
        <v>0</v>
      </c>
      <c r="AB9" s="99">
        <f t="shared" si="1"/>
        <v>0</v>
      </c>
      <c r="AC9" s="101">
        <f>1+0+0+0+0</f>
        <v>1</v>
      </c>
      <c r="AD9" s="101">
        <v>0</v>
      </c>
      <c r="AE9" s="101">
        <v>12</v>
      </c>
    </row>
    <row r="10" spans="1:32" ht="23.4" thickBot="1" x14ac:dyDescent="0.3">
      <c r="A10" s="139" t="s">
        <v>23</v>
      </c>
      <c r="B10" s="97">
        <v>621</v>
      </c>
      <c r="C10" s="97">
        <v>223</v>
      </c>
      <c r="D10" s="97">
        <v>828</v>
      </c>
      <c r="E10" s="137">
        <v>807</v>
      </c>
      <c r="F10" s="97">
        <v>193</v>
      </c>
      <c r="G10" s="98">
        <f>SUM(B10:F10)</f>
        <v>2672</v>
      </c>
      <c r="H10" s="97">
        <v>2</v>
      </c>
      <c r="I10" s="97">
        <v>0</v>
      </c>
      <c r="J10" s="97">
        <v>1</v>
      </c>
      <c r="K10" s="97">
        <v>2</v>
      </c>
      <c r="L10" s="97">
        <v>0</v>
      </c>
      <c r="M10" s="97">
        <f>SUM(H10:L10)</f>
        <v>5</v>
      </c>
      <c r="N10" s="99">
        <f>M10*100/G10</f>
        <v>0.18712574850299402</v>
      </c>
      <c r="O10" s="97">
        <v>3</v>
      </c>
      <c r="P10" s="97">
        <v>2</v>
      </c>
      <c r="Q10" s="97">
        <v>3</v>
      </c>
      <c r="R10" s="97">
        <v>3</v>
      </c>
      <c r="S10" s="97">
        <v>0</v>
      </c>
      <c r="T10" s="100">
        <f>SUM(O10:S10)</f>
        <v>11</v>
      </c>
      <c r="U10" s="99">
        <f t="shared" si="0"/>
        <v>0.41167664670658682</v>
      </c>
      <c r="V10" s="97">
        <v>0</v>
      </c>
      <c r="W10" s="97">
        <v>0</v>
      </c>
      <c r="X10" s="97">
        <v>1</v>
      </c>
      <c r="Y10" s="97">
        <v>0</v>
      </c>
      <c r="Z10" s="97">
        <v>0</v>
      </c>
      <c r="AA10" s="97">
        <f>SUM(V10:Z10)</f>
        <v>1</v>
      </c>
      <c r="AB10" s="99">
        <f t="shared" si="1"/>
        <v>3.7425149700598799E-2</v>
      </c>
      <c r="AC10" s="101">
        <v>9</v>
      </c>
      <c r="AD10" s="101">
        <v>0</v>
      </c>
      <c r="AE10" s="101">
        <v>29</v>
      </c>
    </row>
    <row r="11" spans="1:32" s="132" customFormat="1" ht="14.4" thickBot="1" x14ac:dyDescent="0.3">
      <c r="A11" s="124" t="s">
        <v>21</v>
      </c>
      <c r="B11" s="105">
        <f>SUM(B6:B10)</f>
        <v>1327</v>
      </c>
      <c r="C11" s="105">
        <f>SUM(C6:C10)</f>
        <v>606</v>
      </c>
      <c r="D11" s="105">
        <f>SUM(D6:D10)</f>
        <v>1813</v>
      </c>
      <c r="E11" s="105">
        <f>SUM(E6:E10)</f>
        <v>1826</v>
      </c>
      <c r="F11" s="105">
        <f>SUM(F6:F10)</f>
        <v>603</v>
      </c>
      <c r="G11" s="102">
        <f t="shared" ref="G11:M11" si="2">SUM(G6:G10)</f>
        <v>6175</v>
      </c>
      <c r="H11" s="111">
        <f>SUM(H6:H10)</f>
        <v>4</v>
      </c>
      <c r="I11" s="111">
        <f>SUM(I6:I10)</f>
        <v>3</v>
      </c>
      <c r="J11" s="111">
        <f t="shared" si="2"/>
        <v>3</v>
      </c>
      <c r="K11" s="111">
        <f t="shared" si="2"/>
        <v>5</v>
      </c>
      <c r="L11" s="111">
        <f t="shared" si="2"/>
        <v>0</v>
      </c>
      <c r="M11" s="103">
        <f t="shared" si="2"/>
        <v>15</v>
      </c>
      <c r="N11" s="104">
        <f t="shared" ref="N11:N43" si="3">M11*100/G11</f>
        <v>0.24291497975708501</v>
      </c>
      <c r="O11" s="105">
        <f>SUM(O6:O10)</f>
        <v>5</v>
      </c>
      <c r="P11" s="105">
        <f t="shared" ref="P11:T11" si="4">SUM(P6:P10)</f>
        <v>6</v>
      </c>
      <c r="Q11" s="105">
        <f t="shared" si="4"/>
        <v>11</v>
      </c>
      <c r="R11" s="105">
        <f>SUM(R6:R10)</f>
        <v>8</v>
      </c>
      <c r="S11" s="105">
        <f t="shared" si="4"/>
        <v>1</v>
      </c>
      <c r="T11" s="103">
        <f t="shared" si="4"/>
        <v>31</v>
      </c>
      <c r="U11" s="104">
        <f t="shared" si="0"/>
        <v>0.50202429149797567</v>
      </c>
      <c r="V11" s="105">
        <f t="shared" ref="V11:AA11" si="5">SUM(V6:V10)</f>
        <v>5</v>
      </c>
      <c r="W11" s="105">
        <f t="shared" si="5"/>
        <v>0</v>
      </c>
      <c r="X11" s="105">
        <f t="shared" si="5"/>
        <v>4</v>
      </c>
      <c r="Y11" s="105">
        <f>SUM(Y6:Y10)</f>
        <v>2</v>
      </c>
      <c r="Z11" s="105">
        <f t="shared" si="5"/>
        <v>0</v>
      </c>
      <c r="AA11" s="106">
        <f t="shared" si="5"/>
        <v>11</v>
      </c>
      <c r="AB11" s="104">
        <f t="shared" si="1"/>
        <v>0.17813765182186234</v>
      </c>
      <c r="AC11" s="107">
        <f>SUM(AC6:AC10)</f>
        <v>12</v>
      </c>
      <c r="AD11" s="107">
        <f>SUM(AD6:AD10)</f>
        <v>4</v>
      </c>
      <c r="AE11" s="107">
        <f>SUM(AE6:AE10)</f>
        <v>132</v>
      </c>
    </row>
    <row r="12" spans="1:32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2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2" ht="14.4" thickBot="1" x14ac:dyDescent="0.3">
      <c r="A14" s="89" t="s">
        <v>4</v>
      </c>
      <c r="B14" s="97">
        <v>15</v>
      </c>
      <c r="C14" s="97">
        <v>4</v>
      </c>
      <c r="D14" s="97">
        <v>23</v>
      </c>
      <c r="E14" s="97">
        <v>37</v>
      </c>
      <c r="F14" s="97">
        <v>3</v>
      </c>
      <c r="G14" s="98">
        <f>SUM(B14:F14)</f>
        <v>82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101">
        <f>SUM(H14:L14)</f>
        <v>0</v>
      </c>
      <c r="N14" s="99">
        <f t="shared" si="3"/>
        <v>0</v>
      </c>
      <c r="O14" s="97">
        <v>0</v>
      </c>
      <c r="P14" s="97">
        <v>0</v>
      </c>
      <c r="Q14" s="97">
        <v>0</v>
      </c>
      <c r="R14" s="97">
        <v>1</v>
      </c>
      <c r="S14" s="97">
        <v>0</v>
      </c>
      <c r="T14" s="97">
        <f>SUM(O14:S14)</f>
        <v>1</v>
      </c>
      <c r="U14" s="99">
        <f t="shared" si="0"/>
        <v>1.2195121951219512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 t="shared" si="1"/>
        <v>0</v>
      </c>
      <c r="AC14" s="101">
        <f>0+0+0+0+0</f>
        <v>0</v>
      </c>
      <c r="AD14" s="101">
        <v>0</v>
      </c>
      <c r="AE14" s="101">
        <v>2</v>
      </c>
    </row>
    <row r="15" spans="1:32" ht="14.4" thickBot="1" x14ac:dyDescent="0.3">
      <c r="A15" s="89" t="s">
        <v>5</v>
      </c>
      <c r="B15" s="97">
        <v>208</v>
      </c>
      <c r="C15" s="97">
        <v>72</v>
      </c>
      <c r="D15" s="97">
        <v>276</v>
      </c>
      <c r="E15" s="97">
        <v>392</v>
      </c>
      <c r="F15" s="97">
        <v>118</v>
      </c>
      <c r="G15" s="98">
        <f t="shared" ref="G15:G24" si="6">SUM(B15:F15)</f>
        <v>1066</v>
      </c>
      <c r="H15" s="97">
        <v>0</v>
      </c>
      <c r="I15" s="97">
        <v>3</v>
      </c>
      <c r="J15" s="97">
        <v>1</v>
      </c>
      <c r="K15" s="97">
        <v>0</v>
      </c>
      <c r="L15" s="97">
        <v>2</v>
      </c>
      <c r="M15" s="97">
        <f>SUM(H15:L15)</f>
        <v>6</v>
      </c>
      <c r="N15" s="99">
        <f t="shared" si="3"/>
        <v>0.56285178236397748</v>
      </c>
      <c r="O15" s="97">
        <v>1</v>
      </c>
      <c r="P15" s="97">
        <v>0</v>
      </c>
      <c r="Q15" s="97">
        <v>2</v>
      </c>
      <c r="R15" s="97">
        <v>2</v>
      </c>
      <c r="S15" s="97">
        <v>3</v>
      </c>
      <c r="T15" s="97">
        <f>SUM(O15:S15)</f>
        <v>8</v>
      </c>
      <c r="U15" s="99">
        <f t="shared" si="0"/>
        <v>0.75046904315196994</v>
      </c>
      <c r="V15" s="97">
        <v>4</v>
      </c>
      <c r="W15" s="97">
        <v>1</v>
      </c>
      <c r="X15" s="97">
        <v>0</v>
      </c>
      <c r="Y15" s="97">
        <v>0</v>
      </c>
      <c r="Z15" s="97">
        <v>1</v>
      </c>
      <c r="AA15" s="97">
        <f>SUM(V15:Z15)</f>
        <v>6</v>
      </c>
      <c r="AB15" s="99">
        <f t="shared" si="1"/>
        <v>0.56285178236397748</v>
      </c>
      <c r="AC15" s="101">
        <v>1</v>
      </c>
      <c r="AD15" s="101">
        <v>2</v>
      </c>
      <c r="AE15" s="101">
        <v>18</v>
      </c>
    </row>
    <row r="16" spans="1:32" ht="14.4" thickBot="1" x14ac:dyDescent="0.3">
      <c r="A16" s="89" t="s">
        <v>6</v>
      </c>
      <c r="B16" s="109">
        <v>36</v>
      </c>
      <c r="C16" s="97">
        <v>21</v>
      </c>
      <c r="D16" s="97">
        <v>70</v>
      </c>
      <c r="E16" s="97">
        <v>68</v>
      </c>
      <c r="F16" s="97">
        <v>24</v>
      </c>
      <c r="G16" s="98">
        <f t="shared" si="6"/>
        <v>219</v>
      </c>
      <c r="H16" s="97">
        <v>0</v>
      </c>
      <c r="I16" s="97">
        <v>0</v>
      </c>
      <c r="J16" s="97">
        <v>1</v>
      </c>
      <c r="K16" s="97">
        <v>1</v>
      </c>
      <c r="L16" s="97">
        <v>0</v>
      </c>
      <c r="M16" s="101">
        <f t="shared" ref="M16:M20" si="7">SUM(H16:L16)</f>
        <v>2</v>
      </c>
      <c r="N16" s="99">
        <f t="shared" si="3"/>
        <v>0.91324200913242004</v>
      </c>
      <c r="O16" s="97">
        <v>0</v>
      </c>
      <c r="P16" s="97">
        <v>0</v>
      </c>
      <c r="Q16" s="97">
        <v>0</v>
      </c>
      <c r="R16" s="97">
        <v>0</v>
      </c>
      <c r="S16" s="97">
        <v>0</v>
      </c>
      <c r="T16" s="97">
        <f>SUM(O16:S16)</f>
        <v>0</v>
      </c>
      <c r="U16" s="99">
        <f t="shared" si="0"/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f>SUM(V16:Z16)</f>
        <v>0</v>
      </c>
      <c r="AB16" s="99">
        <f t="shared" si="1"/>
        <v>0</v>
      </c>
      <c r="AC16" s="101">
        <v>1</v>
      </c>
      <c r="AD16" s="101">
        <v>0</v>
      </c>
      <c r="AE16" s="101">
        <v>1</v>
      </c>
    </row>
    <row r="17" spans="1:31" ht="14.4" thickBot="1" x14ac:dyDescent="0.3">
      <c r="A17" s="89" t="s">
        <v>7</v>
      </c>
      <c r="B17" s="97">
        <v>21</v>
      </c>
      <c r="C17" s="97">
        <v>132</v>
      </c>
      <c r="D17" s="97">
        <v>28</v>
      </c>
      <c r="E17" s="97">
        <v>21</v>
      </c>
      <c r="F17" s="97">
        <v>23</v>
      </c>
      <c r="G17" s="98">
        <f t="shared" si="6"/>
        <v>225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>SUM(H17:L17)</f>
        <v>0</v>
      </c>
      <c r="N17" s="99">
        <f t="shared" si="3"/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f>SUM(O17:S17)</f>
        <v>0</v>
      </c>
      <c r="U17" s="99">
        <f t="shared" si="0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101">
        <f t="shared" ref="AA17:AA20" si="8">SUM(V17:Z17)</f>
        <v>0</v>
      </c>
      <c r="AB17" s="99">
        <f t="shared" si="1"/>
        <v>0</v>
      </c>
      <c r="AC17" s="101">
        <v>0</v>
      </c>
      <c r="AD17" s="101">
        <f t="shared" ref="AD17" si="9">0+0+0+0+0</f>
        <v>0</v>
      </c>
      <c r="AE17" s="101">
        <f>0+0+0+0+0</f>
        <v>0</v>
      </c>
    </row>
    <row r="18" spans="1:31" ht="14.4" thickBot="1" x14ac:dyDescent="0.3">
      <c r="A18" s="89" t="s">
        <v>8</v>
      </c>
      <c r="B18" s="97">
        <v>9</v>
      </c>
      <c r="C18" s="97">
        <v>2</v>
      </c>
      <c r="D18" s="97">
        <v>5</v>
      </c>
      <c r="E18" s="97">
        <v>11</v>
      </c>
      <c r="F18" s="97">
        <v>7</v>
      </c>
      <c r="G18" s="98">
        <f t="shared" si="6"/>
        <v>34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>SUM(H18:L18)</f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f t="shared" ref="T18:T20" si="10">SUM(O18:S18)</f>
        <v>0</v>
      </c>
      <c r="U18" s="99">
        <f t="shared" si="0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>SUM(V18:Z18)</f>
        <v>0</v>
      </c>
      <c r="AB18" s="99">
        <f t="shared" si="1"/>
        <v>0</v>
      </c>
      <c r="AC18" s="101">
        <v>0</v>
      </c>
      <c r="AD18" s="101">
        <f>0+0+0+0+0</f>
        <v>0</v>
      </c>
      <c r="AE18" s="101">
        <f>0+0+0+0+0</f>
        <v>0</v>
      </c>
    </row>
    <row r="19" spans="1:31" ht="14.4" thickBot="1" x14ac:dyDescent="0.3">
      <c r="A19" s="89" t="s">
        <v>9</v>
      </c>
      <c r="B19" s="97">
        <v>14</v>
      </c>
      <c r="C19" s="97">
        <v>8</v>
      </c>
      <c r="D19" s="97">
        <v>21</v>
      </c>
      <c r="E19" s="97">
        <v>9</v>
      </c>
      <c r="F19" s="97">
        <v>6</v>
      </c>
      <c r="G19" s="98">
        <f t="shared" si="6"/>
        <v>58</v>
      </c>
      <c r="H19" s="97">
        <v>2</v>
      </c>
      <c r="I19" s="97">
        <v>0</v>
      </c>
      <c r="J19" s="97">
        <v>0</v>
      </c>
      <c r="K19" s="97">
        <v>0</v>
      </c>
      <c r="L19" s="97">
        <v>0</v>
      </c>
      <c r="M19" s="101">
        <f t="shared" si="7"/>
        <v>2</v>
      </c>
      <c r="N19" s="99">
        <f t="shared" si="3"/>
        <v>3.4482758620689653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10"/>
        <v>0</v>
      </c>
      <c r="U19" s="99">
        <f t="shared" si="0"/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f t="shared" si="8"/>
        <v>0</v>
      </c>
      <c r="AB19" s="99">
        <f t="shared" si="1"/>
        <v>0</v>
      </c>
      <c r="AC19" s="101">
        <v>2</v>
      </c>
      <c r="AD19" s="101">
        <v>1</v>
      </c>
      <c r="AE19" s="101">
        <v>19</v>
      </c>
    </row>
    <row r="20" spans="1:31" ht="14.4" thickBot="1" x14ac:dyDescent="0.3">
      <c r="A20" s="89" t="s">
        <v>10</v>
      </c>
      <c r="B20" s="97">
        <v>7</v>
      </c>
      <c r="C20" s="97">
        <v>3</v>
      </c>
      <c r="D20" s="97">
        <v>8</v>
      </c>
      <c r="E20" s="97">
        <v>18</v>
      </c>
      <c r="F20" s="97">
        <v>2</v>
      </c>
      <c r="G20" s="98">
        <f t="shared" si="6"/>
        <v>38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7"/>
        <v>0</v>
      </c>
      <c r="N20" s="99">
        <f t="shared" si="3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10"/>
        <v>0</v>
      </c>
      <c r="U20" s="99">
        <f t="shared" si="0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8"/>
        <v>0</v>
      </c>
      <c r="AB20" s="99">
        <f t="shared" si="1"/>
        <v>0</v>
      </c>
      <c r="AC20" s="101">
        <v>0</v>
      </c>
      <c r="AD20" s="101">
        <v>0</v>
      </c>
      <c r="AE20" s="101">
        <f>0+0+0+0+0</f>
        <v>0</v>
      </c>
    </row>
    <row r="21" spans="1:31" ht="14.4" thickBot="1" x14ac:dyDescent="0.3">
      <c r="A21" s="89" t="s">
        <v>11</v>
      </c>
      <c r="B21" s="97">
        <v>110</v>
      </c>
      <c r="C21" s="97">
        <v>20</v>
      </c>
      <c r="D21" s="97">
        <v>123</v>
      </c>
      <c r="E21" s="97">
        <v>177</v>
      </c>
      <c r="F21" s="97">
        <v>62</v>
      </c>
      <c r="G21" s="98">
        <f t="shared" si="6"/>
        <v>492</v>
      </c>
      <c r="H21" s="97">
        <v>3</v>
      </c>
      <c r="I21" s="97">
        <v>2</v>
      </c>
      <c r="J21" s="97">
        <v>0</v>
      </c>
      <c r="K21" s="97">
        <v>0</v>
      </c>
      <c r="L21" s="97">
        <v>0</v>
      </c>
      <c r="M21" s="97">
        <f>SUM(H21:L21)</f>
        <v>5</v>
      </c>
      <c r="N21" s="99">
        <f t="shared" si="3"/>
        <v>1.0162601626016261</v>
      </c>
      <c r="O21" s="97">
        <v>2</v>
      </c>
      <c r="P21" s="97">
        <v>0</v>
      </c>
      <c r="Q21" s="97">
        <v>2</v>
      </c>
      <c r="R21" s="97">
        <v>0</v>
      </c>
      <c r="S21" s="97">
        <v>2</v>
      </c>
      <c r="T21" s="97">
        <f>SUM(O21:S21)</f>
        <v>6</v>
      </c>
      <c r="U21" s="99">
        <f t="shared" si="0"/>
        <v>1.2195121951219512</v>
      </c>
      <c r="V21" s="97">
        <v>0</v>
      </c>
      <c r="W21" s="97">
        <v>0</v>
      </c>
      <c r="X21" s="97">
        <v>1</v>
      </c>
      <c r="Y21" s="97">
        <v>0</v>
      </c>
      <c r="Z21" s="97">
        <v>1</v>
      </c>
      <c r="AA21" s="97">
        <f>SUM(V21:Z21)</f>
        <v>2</v>
      </c>
      <c r="AB21" s="99">
        <f t="shared" si="1"/>
        <v>0.4065040650406504</v>
      </c>
      <c r="AC21" s="101">
        <v>4</v>
      </c>
      <c r="AD21" s="101">
        <v>1</v>
      </c>
      <c r="AE21" s="101">
        <v>6</v>
      </c>
    </row>
    <row r="22" spans="1:31" ht="14.4" thickBot="1" x14ac:dyDescent="0.3">
      <c r="A22" s="89" t="s">
        <v>12</v>
      </c>
      <c r="B22" s="97">
        <v>783</v>
      </c>
      <c r="C22" s="97">
        <v>369</v>
      </c>
      <c r="D22" s="97">
        <v>1340</v>
      </c>
      <c r="E22" s="97">
        <v>1238</v>
      </c>
      <c r="F22" s="97">
        <v>610</v>
      </c>
      <c r="G22" s="98">
        <f t="shared" si="6"/>
        <v>4340</v>
      </c>
      <c r="H22" s="97">
        <v>6</v>
      </c>
      <c r="I22" s="97">
        <v>1</v>
      </c>
      <c r="J22" s="97">
        <v>9</v>
      </c>
      <c r="K22" s="97">
        <v>5</v>
      </c>
      <c r="L22" s="97">
        <v>2</v>
      </c>
      <c r="M22" s="97">
        <f>SUM(H22:L22)</f>
        <v>23</v>
      </c>
      <c r="N22" s="99">
        <f t="shared" si="3"/>
        <v>0.52995391705069128</v>
      </c>
      <c r="O22" s="97">
        <v>4</v>
      </c>
      <c r="P22" s="97">
        <v>1</v>
      </c>
      <c r="Q22" s="97">
        <v>1</v>
      </c>
      <c r="R22" s="97">
        <v>3</v>
      </c>
      <c r="S22" s="97">
        <v>1</v>
      </c>
      <c r="T22" s="97">
        <f>SUM(O22:S22)</f>
        <v>10</v>
      </c>
      <c r="U22" s="99">
        <f t="shared" si="0"/>
        <v>0.2304147465437788</v>
      </c>
      <c r="V22" s="97">
        <v>4</v>
      </c>
      <c r="W22" s="97">
        <v>3</v>
      </c>
      <c r="X22" s="97">
        <v>1</v>
      </c>
      <c r="Y22" s="97">
        <v>1</v>
      </c>
      <c r="Z22" s="97">
        <v>0</v>
      </c>
      <c r="AA22" s="97">
        <f>SUM(V22:Z22)</f>
        <v>9</v>
      </c>
      <c r="AB22" s="99">
        <f t="shared" si="1"/>
        <v>0.20737327188940091</v>
      </c>
      <c r="AC22" s="101">
        <v>2</v>
      </c>
      <c r="AD22" s="101">
        <v>5</v>
      </c>
      <c r="AE22" s="101">
        <v>75</v>
      </c>
    </row>
    <row r="23" spans="1:31" ht="14.4" thickBot="1" x14ac:dyDescent="0.3">
      <c r="A23" s="89" t="s">
        <v>13</v>
      </c>
      <c r="B23" s="97">
        <v>29</v>
      </c>
      <c r="C23" s="97">
        <v>4</v>
      </c>
      <c r="D23" s="97">
        <v>5</v>
      </c>
      <c r="E23" s="97">
        <v>7</v>
      </c>
      <c r="F23" s="97">
        <v>4</v>
      </c>
      <c r="G23" s="98">
        <f t="shared" si="6"/>
        <v>49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>SUM(H23:L23)</f>
        <v>0</v>
      </c>
      <c r="N23" s="99">
        <f t="shared" si="3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f>SUM(O23:S23)</f>
        <v>1</v>
      </c>
      <c r="U23" s="99">
        <f t="shared" si="0"/>
        <v>2.0408163265306123</v>
      </c>
      <c r="V23" s="97">
        <v>1</v>
      </c>
      <c r="W23" s="97">
        <v>0</v>
      </c>
      <c r="X23" s="97">
        <v>0</v>
      </c>
      <c r="Y23" s="97">
        <v>0</v>
      </c>
      <c r="Z23" s="97">
        <v>0</v>
      </c>
      <c r="AA23" s="97">
        <f>SUM(V23:Z23)</f>
        <v>1</v>
      </c>
      <c r="AB23" s="99">
        <f t="shared" si="1"/>
        <v>2.0408163265306123</v>
      </c>
      <c r="AC23" s="101">
        <v>0</v>
      </c>
      <c r="AD23" s="101">
        <v>0</v>
      </c>
      <c r="AE23" s="101">
        <v>2</v>
      </c>
    </row>
    <row r="24" spans="1:31" ht="23.4" thickBot="1" x14ac:dyDescent="0.3">
      <c r="A24" s="139" t="s">
        <v>23</v>
      </c>
      <c r="B24" s="110">
        <v>475</v>
      </c>
      <c r="C24" s="110">
        <v>207</v>
      </c>
      <c r="D24" s="97">
        <v>547</v>
      </c>
      <c r="E24" s="110">
        <v>786</v>
      </c>
      <c r="F24" s="97">
        <v>242</v>
      </c>
      <c r="G24" s="98">
        <f t="shared" si="6"/>
        <v>2257</v>
      </c>
      <c r="H24" s="110">
        <v>2</v>
      </c>
      <c r="I24" s="97">
        <v>6</v>
      </c>
      <c r="J24" s="97">
        <v>1</v>
      </c>
      <c r="K24" s="97">
        <v>1</v>
      </c>
      <c r="L24" s="97">
        <v>0</v>
      </c>
      <c r="M24" s="97">
        <f>SUM(H24:L24)</f>
        <v>10</v>
      </c>
      <c r="N24" s="99">
        <f t="shared" si="3"/>
        <v>0.44306601683650865</v>
      </c>
      <c r="O24" s="110">
        <v>2</v>
      </c>
      <c r="P24" s="97">
        <v>10</v>
      </c>
      <c r="Q24" s="110">
        <v>4</v>
      </c>
      <c r="R24" s="110">
        <v>2</v>
      </c>
      <c r="S24" s="97">
        <v>1</v>
      </c>
      <c r="T24" s="97">
        <f>SUM(O24:S24)</f>
        <v>19</v>
      </c>
      <c r="U24" s="99">
        <f t="shared" si="0"/>
        <v>0.84182543198936644</v>
      </c>
      <c r="V24" s="110">
        <v>0</v>
      </c>
      <c r="W24" s="110">
        <v>0</v>
      </c>
      <c r="X24" s="110">
        <v>1</v>
      </c>
      <c r="Y24" s="110">
        <v>1</v>
      </c>
      <c r="Z24" s="110">
        <v>1</v>
      </c>
      <c r="AA24" s="97">
        <f>SUM(V24:Z24)</f>
        <v>3</v>
      </c>
      <c r="AB24" s="99">
        <f t="shared" si="1"/>
        <v>0.13291980505095261</v>
      </c>
      <c r="AC24" s="101">
        <v>1</v>
      </c>
      <c r="AD24" s="101">
        <v>3</v>
      </c>
      <c r="AE24" s="101">
        <v>28</v>
      </c>
    </row>
    <row r="25" spans="1:31" s="132" customFormat="1" ht="14.4" thickBot="1" x14ac:dyDescent="0.3">
      <c r="A25" s="128" t="s">
        <v>22</v>
      </c>
      <c r="B25" s="111">
        <f t="shared" ref="B25:M25" si="11">SUM(B14:B24)</f>
        <v>1707</v>
      </c>
      <c r="C25" s="111">
        <f t="shared" si="11"/>
        <v>842</v>
      </c>
      <c r="D25" s="111">
        <f t="shared" si="11"/>
        <v>2446</v>
      </c>
      <c r="E25" s="111">
        <f t="shared" si="11"/>
        <v>2764</v>
      </c>
      <c r="F25" s="111">
        <f t="shared" si="11"/>
        <v>1101</v>
      </c>
      <c r="G25" s="102">
        <f t="shared" si="11"/>
        <v>8860</v>
      </c>
      <c r="H25" s="111">
        <f t="shared" si="11"/>
        <v>13</v>
      </c>
      <c r="I25" s="111">
        <f t="shared" si="11"/>
        <v>12</v>
      </c>
      <c r="J25" s="111">
        <f t="shared" si="11"/>
        <v>12</v>
      </c>
      <c r="K25" s="111">
        <f t="shared" si="11"/>
        <v>7</v>
      </c>
      <c r="L25" s="111">
        <f t="shared" si="11"/>
        <v>4</v>
      </c>
      <c r="M25" s="103">
        <f t="shared" si="11"/>
        <v>48</v>
      </c>
      <c r="N25" s="104">
        <f t="shared" si="3"/>
        <v>0.54176072234762984</v>
      </c>
      <c r="O25" s="111">
        <f t="shared" ref="O25:T25" si="12">SUM(O14:O24)</f>
        <v>10</v>
      </c>
      <c r="P25" s="111">
        <f t="shared" si="12"/>
        <v>11</v>
      </c>
      <c r="Q25" s="111">
        <f t="shared" si="12"/>
        <v>9</v>
      </c>
      <c r="R25" s="111">
        <f t="shared" si="12"/>
        <v>8</v>
      </c>
      <c r="S25" s="111">
        <f t="shared" si="12"/>
        <v>7</v>
      </c>
      <c r="T25" s="103">
        <f t="shared" si="12"/>
        <v>45</v>
      </c>
      <c r="U25" s="104">
        <f t="shared" si="0"/>
        <v>0.50790067720090293</v>
      </c>
      <c r="V25" s="111">
        <f t="shared" ref="V25:AA25" si="13">SUM(V14:V24)</f>
        <v>9</v>
      </c>
      <c r="W25" s="111">
        <f t="shared" si="13"/>
        <v>4</v>
      </c>
      <c r="X25" s="111">
        <f t="shared" si="13"/>
        <v>3</v>
      </c>
      <c r="Y25" s="111">
        <f t="shared" si="13"/>
        <v>2</v>
      </c>
      <c r="Z25" s="111">
        <f t="shared" si="13"/>
        <v>3</v>
      </c>
      <c r="AA25" s="103">
        <f t="shared" si="13"/>
        <v>21</v>
      </c>
      <c r="AB25" s="104">
        <f t="shared" si="1"/>
        <v>0.23702031602708803</v>
      </c>
      <c r="AC25" s="107">
        <f>SUM(AC14:AC24)</f>
        <v>11</v>
      </c>
      <c r="AD25" s="107">
        <f>SUM(AD14:AD24)</f>
        <v>12</v>
      </c>
      <c r="AE25" s="107">
        <f>SUM(AE14:AE24)</f>
        <v>151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2777</v>
      </c>
      <c r="C28" s="97">
        <v>1959</v>
      </c>
      <c r="D28" s="97">
        <v>3103</v>
      </c>
      <c r="E28" s="97">
        <v>3045</v>
      </c>
      <c r="F28" s="97">
        <v>2835</v>
      </c>
      <c r="G28" s="98">
        <f>SUM(B28:F28)</f>
        <v>13719</v>
      </c>
      <c r="H28" s="97">
        <v>1</v>
      </c>
      <c r="I28" s="97">
        <v>1</v>
      </c>
      <c r="J28" s="97">
        <v>2</v>
      </c>
      <c r="K28" s="97">
        <v>0</v>
      </c>
      <c r="L28" s="97">
        <v>2</v>
      </c>
      <c r="M28" s="97">
        <f t="shared" ref="M28:M36" si="14">SUM(H28:L28)</f>
        <v>6</v>
      </c>
      <c r="N28" s="99">
        <f t="shared" si="3"/>
        <v>4.3734966105401271E-2</v>
      </c>
      <c r="O28" s="97">
        <v>2</v>
      </c>
      <c r="P28" s="97">
        <v>3</v>
      </c>
      <c r="Q28" s="97">
        <v>5</v>
      </c>
      <c r="R28" s="97">
        <v>2</v>
      </c>
      <c r="S28" s="97">
        <v>0</v>
      </c>
      <c r="T28" s="97">
        <f>SUM(O28:S28)</f>
        <v>12</v>
      </c>
      <c r="U28" s="99">
        <f t="shared" si="0"/>
        <v>8.7469932210802542E-2</v>
      </c>
      <c r="V28" s="97">
        <v>1</v>
      </c>
      <c r="W28" s="97">
        <v>2</v>
      </c>
      <c r="X28" s="97">
        <v>2</v>
      </c>
      <c r="Y28" s="97">
        <v>0</v>
      </c>
      <c r="Z28" s="97">
        <v>0</v>
      </c>
      <c r="AA28" s="97">
        <f t="shared" ref="AA28:AA36" si="15">SUM(V28:Z28)</f>
        <v>5</v>
      </c>
      <c r="AB28" s="99">
        <f t="shared" si="1"/>
        <v>3.644580508783439E-2</v>
      </c>
      <c r="AC28" s="101">
        <v>2</v>
      </c>
      <c r="AD28" s="101">
        <v>0</v>
      </c>
      <c r="AE28" s="101">
        <v>25</v>
      </c>
    </row>
    <row r="29" spans="1:31" ht="14.4" thickBot="1" x14ac:dyDescent="0.3">
      <c r="A29" s="89" t="s">
        <v>16</v>
      </c>
      <c r="B29" s="97">
        <v>1110</v>
      </c>
      <c r="C29" s="97">
        <v>816</v>
      </c>
      <c r="D29" s="97">
        <v>1424</v>
      </c>
      <c r="E29" s="97">
        <v>1412</v>
      </c>
      <c r="F29" s="97">
        <v>880</v>
      </c>
      <c r="G29" s="98">
        <f t="shared" ref="G29:G36" si="16">SUM(B29:F29)</f>
        <v>5642</v>
      </c>
      <c r="H29" s="97">
        <v>3</v>
      </c>
      <c r="I29" s="97">
        <v>4</v>
      </c>
      <c r="J29" s="97">
        <v>17</v>
      </c>
      <c r="K29" s="97">
        <v>3</v>
      </c>
      <c r="L29" s="97">
        <v>4</v>
      </c>
      <c r="M29" s="97">
        <f t="shared" si="14"/>
        <v>31</v>
      </c>
      <c r="N29" s="99">
        <f t="shared" si="3"/>
        <v>0.5494505494505495</v>
      </c>
      <c r="O29" s="97">
        <v>4</v>
      </c>
      <c r="P29" s="97">
        <v>2</v>
      </c>
      <c r="Q29" s="97">
        <v>11</v>
      </c>
      <c r="R29" s="97">
        <v>1</v>
      </c>
      <c r="S29" s="97">
        <v>1</v>
      </c>
      <c r="T29" s="97">
        <f t="shared" ref="T29:T36" si="17">SUM(O29:S29)</f>
        <v>19</v>
      </c>
      <c r="U29" s="99">
        <f t="shared" si="0"/>
        <v>0.33676001417936902</v>
      </c>
      <c r="V29" s="97">
        <v>2</v>
      </c>
      <c r="W29" s="97">
        <v>1</v>
      </c>
      <c r="X29" s="97">
        <v>1</v>
      </c>
      <c r="Y29" s="97">
        <v>1</v>
      </c>
      <c r="Z29" s="97">
        <v>1</v>
      </c>
      <c r="AA29" s="97">
        <f t="shared" si="15"/>
        <v>6</v>
      </c>
      <c r="AB29" s="99">
        <f t="shared" si="1"/>
        <v>0.10634526763559021</v>
      </c>
      <c r="AC29" s="101">
        <v>8</v>
      </c>
      <c r="AD29" s="101">
        <v>1</v>
      </c>
      <c r="AE29" s="101">
        <v>50</v>
      </c>
    </row>
    <row r="30" spans="1:31" ht="14.4" thickBot="1" x14ac:dyDescent="0.3">
      <c r="A30" s="89" t="s">
        <v>34</v>
      </c>
      <c r="B30" s="97">
        <v>888</v>
      </c>
      <c r="C30" s="97">
        <v>685</v>
      </c>
      <c r="D30" s="97">
        <v>767</v>
      </c>
      <c r="E30" s="97">
        <v>829</v>
      </c>
      <c r="F30" s="97">
        <v>1113</v>
      </c>
      <c r="G30" s="98">
        <f t="shared" si="16"/>
        <v>4282</v>
      </c>
      <c r="H30" s="97">
        <v>1</v>
      </c>
      <c r="I30" s="97">
        <v>0</v>
      </c>
      <c r="J30" s="97">
        <v>7</v>
      </c>
      <c r="K30" s="97">
        <v>2</v>
      </c>
      <c r="L30" s="97">
        <v>2</v>
      </c>
      <c r="M30" s="97">
        <f t="shared" si="14"/>
        <v>12</v>
      </c>
      <c r="N30" s="99">
        <f t="shared" si="3"/>
        <v>0.28024287716020552</v>
      </c>
      <c r="O30" s="97">
        <v>3</v>
      </c>
      <c r="P30" s="97">
        <v>3</v>
      </c>
      <c r="Q30" s="97">
        <v>5</v>
      </c>
      <c r="R30" s="97">
        <v>5</v>
      </c>
      <c r="S30" s="97">
        <v>3</v>
      </c>
      <c r="T30" s="97">
        <f t="shared" si="17"/>
        <v>19</v>
      </c>
      <c r="U30" s="99">
        <f t="shared" si="0"/>
        <v>0.44371788883699204</v>
      </c>
      <c r="V30" s="97">
        <v>2</v>
      </c>
      <c r="W30" s="97">
        <v>0</v>
      </c>
      <c r="X30" s="97">
        <v>0</v>
      </c>
      <c r="Y30" s="97">
        <v>0</v>
      </c>
      <c r="Z30" s="97">
        <v>0</v>
      </c>
      <c r="AA30" s="97">
        <f t="shared" si="15"/>
        <v>2</v>
      </c>
      <c r="AB30" s="99">
        <f t="shared" si="1"/>
        <v>4.6707146193367584E-2</v>
      </c>
      <c r="AC30" s="101">
        <v>3</v>
      </c>
      <c r="AD30" s="101">
        <v>0</v>
      </c>
      <c r="AE30" s="101">
        <v>19</v>
      </c>
    </row>
    <row r="31" spans="1:31" ht="14.4" thickBot="1" x14ac:dyDescent="0.3">
      <c r="A31" s="89" t="s">
        <v>17</v>
      </c>
      <c r="B31" s="97">
        <v>6545</v>
      </c>
      <c r="C31" s="97">
        <v>3594</v>
      </c>
      <c r="D31" s="97">
        <v>6734</v>
      </c>
      <c r="E31" s="97">
        <v>6908</v>
      </c>
      <c r="F31" s="97">
        <v>6439</v>
      </c>
      <c r="G31" s="98">
        <f t="shared" si="16"/>
        <v>30220</v>
      </c>
      <c r="H31" s="97">
        <v>2</v>
      </c>
      <c r="I31" s="97">
        <v>5</v>
      </c>
      <c r="J31" s="97">
        <v>3</v>
      </c>
      <c r="K31" s="97">
        <v>1</v>
      </c>
      <c r="L31" s="97">
        <v>1</v>
      </c>
      <c r="M31" s="97">
        <f t="shared" si="14"/>
        <v>12</v>
      </c>
      <c r="N31" s="99">
        <f t="shared" si="3"/>
        <v>3.9708802117802783E-2</v>
      </c>
      <c r="O31" s="97">
        <v>1</v>
      </c>
      <c r="P31" s="97">
        <v>0</v>
      </c>
      <c r="Q31" s="97">
        <v>5</v>
      </c>
      <c r="R31" s="97">
        <v>0</v>
      </c>
      <c r="S31" s="97">
        <v>1</v>
      </c>
      <c r="T31" s="97">
        <f t="shared" si="17"/>
        <v>7</v>
      </c>
      <c r="U31" s="99">
        <f t="shared" si="0"/>
        <v>2.3163467902051621E-2</v>
      </c>
      <c r="V31" s="97">
        <v>5</v>
      </c>
      <c r="W31" s="97">
        <v>0</v>
      </c>
      <c r="X31" s="97">
        <v>2</v>
      </c>
      <c r="Y31" s="97">
        <v>0</v>
      </c>
      <c r="Z31" s="97">
        <v>1</v>
      </c>
      <c r="AA31" s="97">
        <f t="shared" si="15"/>
        <v>8</v>
      </c>
      <c r="AB31" s="99">
        <f t="shared" si="1"/>
        <v>2.6472534745201854E-2</v>
      </c>
      <c r="AC31" s="101">
        <v>1</v>
      </c>
      <c r="AD31" s="101">
        <v>0</v>
      </c>
      <c r="AE31" s="101">
        <v>68</v>
      </c>
    </row>
    <row r="32" spans="1:31" ht="14.4" thickBot="1" x14ac:dyDescent="0.3">
      <c r="A32" s="89" t="s">
        <v>18</v>
      </c>
      <c r="B32" s="97">
        <v>1566</v>
      </c>
      <c r="C32" s="97">
        <v>1137</v>
      </c>
      <c r="D32" s="97">
        <v>854</v>
      </c>
      <c r="E32" s="97">
        <v>1402</v>
      </c>
      <c r="F32" s="97">
        <v>2621</v>
      </c>
      <c r="G32" s="98">
        <f t="shared" si="16"/>
        <v>7580</v>
      </c>
      <c r="H32" s="97">
        <v>0</v>
      </c>
      <c r="I32" s="97">
        <v>0</v>
      </c>
      <c r="J32" s="97">
        <v>5</v>
      </c>
      <c r="K32" s="97">
        <v>1</v>
      </c>
      <c r="L32" s="97">
        <v>3</v>
      </c>
      <c r="M32" s="97">
        <f t="shared" si="14"/>
        <v>9</v>
      </c>
      <c r="N32" s="99">
        <f t="shared" si="3"/>
        <v>0.11873350923482849</v>
      </c>
      <c r="O32" s="97">
        <v>2</v>
      </c>
      <c r="P32" s="97">
        <v>3</v>
      </c>
      <c r="Q32" s="97">
        <v>2</v>
      </c>
      <c r="R32" s="97">
        <v>1</v>
      </c>
      <c r="S32" s="97">
        <v>3</v>
      </c>
      <c r="T32" s="97">
        <f t="shared" si="17"/>
        <v>11</v>
      </c>
      <c r="U32" s="99">
        <f t="shared" si="0"/>
        <v>0.14511873350923482</v>
      </c>
      <c r="V32" s="97">
        <v>1</v>
      </c>
      <c r="W32" s="97">
        <v>0</v>
      </c>
      <c r="X32" s="97">
        <v>0</v>
      </c>
      <c r="Y32" s="97">
        <v>0</v>
      </c>
      <c r="Z32" s="97">
        <v>0</v>
      </c>
      <c r="AA32" s="97">
        <f t="shared" si="15"/>
        <v>1</v>
      </c>
      <c r="AB32" s="99">
        <f t="shared" si="1"/>
        <v>1.3192612137203167E-2</v>
      </c>
      <c r="AC32" s="101">
        <v>9</v>
      </c>
      <c r="AD32" s="101">
        <v>2</v>
      </c>
      <c r="AE32" s="101">
        <v>16</v>
      </c>
    </row>
    <row r="33" spans="1:32" ht="14.4" thickBot="1" x14ac:dyDescent="0.3">
      <c r="A33" s="89" t="s">
        <v>19</v>
      </c>
      <c r="B33" s="97">
        <v>8176</v>
      </c>
      <c r="C33" s="97">
        <v>5780</v>
      </c>
      <c r="D33" s="97">
        <v>10377</v>
      </c>
      <c r="E33" s="97">
        <v>9310</v>
      </c>
      <c r="F33" s="97">
        <v>6478</v>
      </c>
      <c r="G33" s="98">
        <f t="shared" si="16"/>
        <v>40121</v>
      </c>
      <c r="H33" s="97">
        <v>30</v>
      </c>
      <c r="I33" s="97">
        <v>14</v>
      </c>
      <c r="J33" s="97">
        <v>35</v>
      </c>
      <c r="K33" s="97">
        <v>28</v>
      </c>
      <c r="L33" s="97">
        <v>15</v>
      </c>
      <c r="M33" s="97">
        <f t="shared" si="14"/>
        <v>122</v>
      </c>
      <c r="N33" s="99">
        <f t="shared" si="3"/>
        <v>0.30408015752349143</v>
      </c>
      <c r="O33" s="97">
        <v>28</v>
      </c>
      <c r="P33" s="97">
        <v>14</v>
      </c>
      <c r="Q33" s="97">
        <v>33</v>
      </c>
      <c r="R33" s="97">
        <v>18</v>
      </c>
      <c r="S33" s="97">
        <v>23</v>
      </c>
      <c r="T33" s="97">
        <f t="shared" si="17"/>
        <v>116</v>
      </c>
      <c r="U33" s="99">
        <f t="shared" si="0"/>
        <v>0.28912539567807383</v>
      </c>
      <c r="V33" s="97">
        <v>11</v>
      </c>
      <c r="W33" s="97">
        <v>4</v>
      </c>
      <c r="X33" s="97">
        <v>29</v>
      </c>
      <c r="Y33" s="97">
        <v>6</v>
      </c>
      <c r="Z33" s="97">
        <v>2</v>
      </c>
      <c r="AA33" s="97">
        <f t="shared" si="15"/>
        <v>52</v>
      </c>
      <c r="AB33" s="99">
        <f t="shared" si="1"/>
        <v>0.12960793599361931</v>
      </c>
      <c r="AC33" s="101">
        <v>36</v>
      </c>
      <c r="AD33" s="101">
        <v>8</v>
      </c>
      <c r="AE33" s="101">
        <v>258</v>
      </c>
    </row>
    <row r="34" spans="1:32" ht="14.4" thickBot="1" x14ac:dyDescent="0.3">
      <c r="A34" s="89" t="s">
        <v>20</v>
      </c>
      <c r="B34" s="97">
        <v>7346</v>
      </c>
      <c r="C34" s="97">
        <v>4624</v>
      </c>
      <c r="D34" s="97">
        <v>7610</v>
      </c>
      <c r="E34" s="97">
        <v>8636</v>
      </c>
      <c r="F34" s="97">
        <v>4325</v>
      </c>
      <c r="G34" s="98">
        <f t="shared" si="16"/>
        <v>32541</v>
      </c>
      <c r="H34" s="97">
        <v>17</v>
      </c>
      <c r="I34" s="97">
        <v>6</v>
      </c>
      <c r="J34" s="97">
        <v>13</v>
      </c>
      <c r="K34" s="97">
        <v>12</v>
      </c>
      <c r="L34" s="97">
        <v>5</v>
      </c>
      <c r="M34" s="97">
        <f t="shared" si="14"/>
        <v>53</v>
      </c>
      <c r="N34" s="99">
        <f t="shared" si="3"/>
        <v>0.16287145447281889</v>
      </c>
      <c r="O34" s="97">
        <v>19</v>
      </c>
      <c r="P34" s="97">
        <v>6</v>
      </c>
      <c r="Q34" s="97">
        <v>30</v>
      </c>
      <c r="R34" s="97">
        <v>13</v>
      </c>
      <c r="S34" s="97">
        <v>6</v>
      </c>
      <c r="T34" s="97">
        <f t="shared" si="17"/>
        <v>74</v>
      </c>
      <c r="U34" s="99">
        <f t="shared" si="0"/>
        <v>0.22740542699978489</v>
      </c>
      <c r="V34" s="97">
        <v>18</v>
      </c>
      <c r="W34" s="97">
        <v>2</v>
      </c>
      <c r="X34" s="97">
        <v>13</v>
      </c>
      <c r="Y34" s="97">
        <v>2</v>
      </c>
      <c r="Z34" s="97">
        <v>4</v>
      </c>
      <c r="AA34" s="97">
        <f t="shared" si="15"/>
        <v>39</v>
      </c>
      <c r="AB34" s="99">
        <f t="shared" si="1"/>
        <v>0.11984880612150825</v>
      </c>
      <c r="AC34" s="101">
        <v>28</v>
      </c>
      <c r="AD34" s="101">
        <v>7</v>
      </c>
      <c r="AE34" s="101">
        <v>173</v>
      </c>
    </row>
    <row r="35" spans="1:32" ht="14.4" thickBot="1" x14ac:dyDescent="0.3">
      <c r="A35" s="89" t="s">
        <v>25</v>
      </c>
      <c r="B35" s="97">
        <v>219</v>
      </c>
      <c r="C35" s="97">
        <v>78</v>
      </c>
      <c r="D35" s="97">
        <v>138</v>
      </c>
      <c r="E35" s="97">
        <v>126</v>
      </c>
      <c r="F35" s="97">
        <v>115</v>
      </c>
      <c r="G35" s="98">
        <f t="shared" si="16"/>
        <v>676</v>
      </c>
      <c r="H35" s="97">
        <v>1</v>
      </c>
      <c r="I35" s="97">
        <v>0</v>
      </c>
      <c r="J35" s="97">
        <v>15</v>
      </c>
      <c r="K35" s="97">
        <v>1</v>
      </c>
      <c r="L35" s="97">
        <v>0</v>
      </c>
      <c r="M35" s="97">
        <f t="shared" si="14"/>
        <v>17</v>
      </c>
      <c r="N35" s="99">
        <f t="shared" si="3"/>
        <v>2.5147928994082842</v>
      </c>
      <c r="O35" s="97">
        <v>0</v>
      </c>
      <c r="P35" s="97">
        <v>0</v>
      </c>
      <c r="Q35" s="97">
        <v>15</v>
      </c>
      <c r="R35" s="97">
        <v>0</v>
      </c>
      <c r="S35" s="97">
        <v>0</v>
      </c>
      <c r="T35" s="97">
        <f t="shared" si="17"/>
        <v>15</v>
      </c>
      <c r="U35" s="99">
        <f t="shared" si="0"/>
        <v>2.2189349112426036</v>
      </c>
      <c r="V35" s="97">
        <v>0</v>
      </c>
      <c r="W35" s="97">
        <v>0</v>
      </c>
      <c r="X35" s="97">
        <v>0</v>
      </c>
      <c r="Y35" s="97">
        <v>1</v>
      </c>
      <c r="Z35" s="97">
        <v>0</v>
      </c>
      <c r="AA35" s="97">
        <f t="shared" si="15"/>
        <v>1</v>
      </c>
      <c r="AB35" s="99">
        <f t="shared" si="1"/>
        <v>0.14792899408284024</v>
      </c>
      <c r="AC35" s="101">
        <v>2</v>
      </c>
      <c r="AD35" s="101">
        <f>AJ33</f>
        <v>0</v>
      </c>
      <c r="AE35" s="101">
        <v>13</v>
      </c>
    </row>
    <row r="36" spans="1:32" ht="14.4" thickBot="1" x14ac:dyDescent="0.3">
      <c r="A36" s="89" t="s">
        <v>26</v>
      </c>
      <c r="B36" s="97">
        <v>90377</v>
      </c>
      <c r="C36" s="97">
        <v>61293</v>
      </c>
      <c r="D36" s="97">
        <v>113295</v>
      </c>
      <c r="E36" s="97">
        <v>118650</v>
      </c>
      <c r="F36" s="97">
        <v>71713</v>
      </c>
      <c r="G36" s="98">
        <f t="shared" si="16"/>
        <v>455328</v>
      </c>
      <c r="H36" s="97">
        <v>141</v>
      </c>
      <c r="I36" s="97">
        <v>72</v>
      </c>
      <c r="J36" s="97">
        <v>199</v>
      </c>
      <c r="K36" s="97">
        <v>151</v>
      </c>
      <c r="L36" s="97">
        <v>82</v>
      </c>
      <c r="M36" s="97">
        <f t="shared" si="14"/>
        <v>645</v>
      </c>
      <c r="N36" s="99">
        <f t="shared" si="3"/>
        <v>0.14165612481551759</v>
      </c>
      <c r="O36" s="97">
        <v>176</v>
      </c>
      <c r="P36" s="97">
        <v>91</v>
      </c>
      <c r="Q36" s="97">
        <v>272</v>
      </c>
      <c r="R36" s="97">
        <v>188</v>
      </c>
      <c r="S36" s="97">
        <v>91</v>
      </c>
      <c r="T36" s="97">
        <f t="shared" si="17"/>
        <v>818</v>
      </c>
      <c r="U36" s="99">
        <f t="shared" si="0"/>
        <v>0.17965071333192775</v>
      </c>
      <c r="V36" s="97">
        <v>199</v>
      </c>
      <c r="W36" s="97">
        <v>33</v>
      </c>
      <c r="X36" s="97">
        <v>117</v>
      </c>
      <c r="Y36" s="97">
        <v>44</v>
      </c>
      <c r="Z36" s="97">
        <v>54</v>
      </c>
      <c r="AA36" s="97">
        <f t="shared" si="15"/>
        <v>447</v>
      </c>
      <c r="AB36" s="99">
        <f t="shared" si="1"/>
        <v>9.8170988825637781E-2</v>
      </c>
      <c r="AC36" s="101">
        <v>167</v>
      </c>
      <c r="AD36" s="101">
        <v>52</v>
      </c>
      <c r="AE36" s="97">
        <v>2590</v>
      </c>
    </row>
    <row r="37" spans="1:32" s="132" customFormat="1" ht="14.4" thickBot="1" x14ac:dyDescent="0.3">
      <c r="A37" s="128" t="s">
        <v>21</v>
      </c>
      <c r="B37" s="111">
        <f t="shared" ref="B37:M37" si="18">SUM(B28:B36)</f>
        <v>119004</v>
      </c>
      <c r="C37" s="111">
        <v>79966</v>
      </c>
      <c r="D37" s="111">
        <f t="shared" si="18"/>
        <v>144302</v>
      </c>
      <c r="E37" s="111">
        <f>SUM(E28:E36)</f>
        <v>150318</v>
      </c>
      <c r="F37" s="111">
        <f t="shared" si="18"/>
        <v>96519</v>
      </c>
      <c r="G37" s="102">
        <f t="shared" si="18"/>
        <v>590109</v>
      </c>
      <c r="H37" s="111">
        <f t="shared" si="18"/>
        <v>196</v>
      </c>
      <c r="I37" s="111">
        <f t="shared" si="18"/>
        <v>102</v>
      </c>
      <c r="J37" s="111">
        <f t="shared" si="18"/>
        <v>296</v>
      </c>
      <c r="K37" s="111">
        <f>SUM(K28:K36)</f>
        <v>199</v>
      </c>
      <c r="L37" s="111">
        <f t="shared" si="18"/>
        <v>114</v>
      </c>
      <c r="M37" s="103">
        <f t="shared" si="18"/>
        <v>907</v>
      </c>
      <c r="N37" s="104">
        <f t="shared" si="3"/>
        <v>0.15370041805835871</v>
      </c>
      <c r="O37" s="111">
        <f t="shared" ref="O37:T37" si="19">SUM(O28:O36)</f>
        <v>235</v>
      </c>
      <c r="P37" s="111">
        <f t="shared" si="19"/>
        <v>122</v>
      </c>
      <c r="Q37" s="111">
        <f t="shared" si="19"/>
        <v>378</v>
      </c>
      <c r="R37" s="111">
        <f>SUM(R28:R36)</f>
        <v>228</v>
      </c>
      <c r="S37" s="111">
        <f t="shared" si="19"/>
        <v>128</v>
      </c>
      <c r="T37" s="103">
        <f t="shared" si="19"/>
        <v>1091</v>
      </c>
      <c r="U37" s="104">
        <f t="shared" si="0"/>
        <v>0.18488109823778318</v>
      </c>
      <c r="V37" s="111">
        <f>SUM(V28:V36)</f>
        <v>239</v>
      </c>
      <c r="W37" s="111">
        <f t="shared" ref="W37:AA37" si="20">SUM(W28:W36)</f>
        <v>42</v>
      </c>
      <c r="X37" s="111">
        <f t="shared" si="20"/>
        <v>164</v>
      </c>
      <c r="Y37" s="111">
        <f>SUM(Y28:Y36)</f>
        <v>54</v>
      </c>
      <c r="Z37" s="111">
        <f t="shared" si="20"/>
        <v>62</v>
      </c>
      <c r="AA37" s="103">
        <f t="shared" si="20"/>
        <v>561</v>
      </c>
      <c r="AB37" s="104">
        <f t="shared" si="1"/>
        <v>9.5067182503571379E-2</v>
      </c>
      <c r="AC37" s="107">
        <f>SUM(AC28:AC36)</f>
        <v>256</v>
      </c>
      <c r="AD37" s="107">
        <f>SUM(AD28:AD36)</f>
        <v>70</v>
      </c>
      <c r="AE37" s="114">
        <f>SUM(AE28:AE36)</f>
        <v>3212</v>
      </c>
    </row>
    <row r="38" spans="1:32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  <c r="AF38" s="141"/>
    </row>
    <row r="39" spans="1:32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2" ht="14.4" thickBot="1" x14ac:dyDescent="0.3">
      <c r="A40" s="89" t="s">
        <v>40</v>
      </c>
      <c r="B40" s="97">
        <v>417</v>
      </c>
      <c r="C40" s="97">
        <v>157</v>
      </c>
      <c r="D40" s="109">
        <v>469</v>
      </c>
      <c r="E40" s="97">
        <v>281</v>
      </c>
      <c r="F40" s="97">
        <v>231</v>
      </c>
      <c r="G40" s="98">
        <f>SUM(B40:F40)</f>
        <v>1555</v>
      </c>
      <c r="H40" s="97">
        <v>3</v>
      </c>
      <c r="I40" s="97">
        <v>0</v>
      </c>
      <c r="J40" s="97">
        <v>2</v>
      </c>
      <c r="K40" s="97">
        <v>1</v>
      </c>
      <c r="L40" s="120">
        <v>0</v>
      </c>
      <c r="M40" s="97">
        <f>SUM(H40:L40)</f>
        <v>6</v>
      </c>
      <c r="N40" s="99">
        <f t="shared" si="3"/>
        <v>0.38585209003215432</v>
      </c>
      <c r="O40" s="97">
        <v>3</v>
      </c>
      <c r="P40" s="97">
        <v>0</v>
      </c>
      <c r="Q40" s="97">
        <v>0</v>
      </c>
      <c r="R40" s="97">
        <v>1</v>
      </c>
      <c r="S40" s="97">
        <v>0</v>
      </c>
      <c r="T40" s="97">
        <f>SUM(O40:S40)</f>
        <v>4</v>
      </c>
      <c r="U40" s="99">
        <f t="shared" si="0"/>
        <v>0.25723472668810288</v>
      </c>
      <c r="V40" s="133">
        <v>3</v>
      </c>
      <c r="W40" s="133">
        <v>0</v>
      </c>
      <c r="X40" s="133">
        <v>0</v>
      </c>
      <c r="Y40" s="133">
        <v>0</v>
      </c>
      <c r="Z40" s="133">
        <v>0</v>
      </c>
      <c r="AA40" s="101">
        <f>SUM(V40:Z40)</f>
        <v>3</v>
      </c>
      <c r="AB40" s="99">
        <f t="shared" si="1"/>
        <v>0.19292604501607716</v>
      </c>
      <c r="AC40" s="101">
        <v>1</v>
      </c>
      <c r="AD40" s="101">
        <f>0+1+0+0+0</f>
        <v>1</v>
      </c>
      <c r="AE40" s="101">
        <v>5</v>
      </c>
    </row>
    <row r="41" spans="1:32" ht="14.4" thickBot="1" x14ac:dyDescent="0.3">
      <c r="A41" s="89" t="s">
        <v>27</v>
      </c>
      <c r="B41" s="97">
        <v>109259</v>
      </c>
      <c r="C41" s="97">
        <v>51175</v>
      </c>
      <c r="D41" s="109">
        <v>53557</v>
      </c>
      <c r="E41" s="97">
        <v>78899</v>
      </c>
      <c r="F41" s="97">
        <v>77285</v>
      </c>
      <c r="G41" s="98">
        <f>SUM(B41:F41)</f>
        <v>370175</v>
      </c>
      <c r="H41" s="97">
        <v>38</v>
      </c>
      <c r="I41" s="97">
        <v>20</v>
      </c>
      <c r="J41" s="97">
        <v>54</v>
      </c>
      <c r="K41" s="97">
        <v>43</v>
      </c>
      <c r="L41" s="97">
        <v>15</v>
      </c>
      <c r="M41" s="97">
        <f>SUM(H41:L41)</f>
        <v>170</v>
      </c>
      <c r="N41" s="99">
        <f t="shared" si="3"/>
        <v>4.5924225028702644E-2</v>
      </c>
      <c r="O41" s="97">
        <v>12</v>
      </c>
      <c r="P41" s="97">
        <v>16</v>
      </c>
      <c r="Q41" s="97">
        <v>35</v>
      </c>
      <c r="R41" s="97">
        <v>18</v>
      </c>
      <c r="S41" s="97">
        <v>12</v>
      </c>
      <c r="T41" s="97">
        <f>SUM(O41:S41)</f>
        <v>93</v>
      </c>
      <c r="U41" s="99">
        <f t="shared" si="0"/>
        <v>2.5123252515702032E-2</v>
      </c>
      <c r="V41" s="109">
        <v>20</v>
      </c>
      <c r="W41" s="109">
        <v>4</v>
      </c>
      <c r="X41" s="133">
        <v>25</v>
      </c>
      <c r="Y41" s="133">
        <v>7</v>
      </c>
      <c r="Z41" s="133">
        <v>2</v>
      </c>
      <c r="AA41" s="97">
        <f>SUM(V41:Z41)</f>
        <v>58</v>
      </c>
      <c r="AB41" s="99">
        <f t="shared" si="1"/>
        <v>1.5668265009792667E-2</v>
      </c>
      <c r="AC41" s="101">
        <f>2+1+2+6+4</f>
        <v>15</v>
      </c>
      <c r="AD41" s="101">
        <f>2+1+1+2+2</f>
        <v>8</v>
      </c>
      <c r="AE41" s="101">
        <v>319</v>
      </c>
    </row>
    <row r="42" spans="1:32" s="132" customFormat="1" ht="14.4" thickBot="1" x14ac:dyDescent="0.3">
      <c r="A42" s="128" t="s">
        <v>21</v>
      </c>
      <c r="B42" s="111">
        <f>SUM(B40:B41)</f>
        <v>109676</v>
      </c>
      <c r="C42" s="111">
        <f>SUM(C40:C41)</f>
        <v>51332</v>
      </c>
      <c r="D42" s="111">
        <f>SUM(D40:D41)</f>
        <v>54026</v>
      </c>
      <c r="E42" s="111">
        <f>SUM(E40:E41)</f>
        <v>79180</v>
      </c>
      <c r="F42" s="111">
        <f>SUM(F40:F41)</f>
        <v>77516</v>
      </c>
      <c r="G42" s="102">
        <f t="shared" ref="G42:M42" si="21">SUM(G40:G41)</f>
        <v>371730</v>
      </c>
      <c r="H42" s="115">
        <f>SUM(H40:H41)</f>
        <v>41</v>
      </c>
      <c r="I42" s="115">
        <f>SUM(I40:I41)</f>
        <v>20</v>
      </c>
      <c r="J42" s="115">
        <f>SUM(J40:J41)</f>
        <v>56</v>
      </c>
      <c r="K42" s="115">
        <f>SUM(K40:K41)</f>
        <v>44</v>
      </c>
      <c r="L42" s="115">
        <f>SUM(L40:L41)</f>
        <v>15</v>
      </c>
      <c r="M42" s="103">
        <f t="shared" si="21"/>
        <v>176</v>
      </c>
      <c r="N42" s="104">
        <f t="shared" si="3"/>
        <v>4.7346192128695556E-2</v>
      </c>
      <c r="O42" s="111">
        <v>15</v>
      </c>
      <c r="P42" s="111">
        <f t="shared" ref="P42:T42" si="22">SUM(P40:P41)</f>
        <v>16</v>
      </c>
      <c r="Q42" s="111">
        <f t="shared" si="22"/>
        <v>35</v>
      </c>
      <c r="R42" s="111">
        <f t="shared" si="22"/>
        <v>19</v>
      </c>
      <c r="S42" s="111">
        <v>12</v>
      </c>
      <c r="T42" s="103">
        <f t="shared" si="22"/>
        <v>97</v>
      </c>
      <c r="U42" s="104">
        <f t="shared" si="0"/>
        <v>2.6094208161837894E-2</v>
      </c>
      <c r="V42" s="116">
        <f>SUM(V40:V41)</f>
        <v>23</v>
      </c>
      <c r="W42" s="116">
        <f t="shared" ref="W42:Z42" si="23">SUM(W40:W41)</f>
        <v>4</v>
      </c>
      <c r="X42" s="116">
        <f t="shared" si="23"/>
        <v>25</v>
      </c>
      <c r="Y42" s="116">
        <f>SUM(Y40:Y41)</f>
        <v>7</v>
      </c>
      <c r="Z42" s="116">
        <f t="shared" si="23"/>
        <v>2</v>
      </c>
      <c r="AA42" s="106">
        <f>SUM(AA40:AA41)</f>
        <v>61</v>
      </c>
      <c r="AB42" s="104">
        <f t="shared" si="1"/>
        <v>1.6409759771877436E-2</v>
      </c>
      <c r="AC42" s="107">
        <f>SUM(AC40:AC41)</f>
        <v>16</v>
      </c>
      <c r="AD42" s="107">
        <f>SUM(AD40:AD41)</f>
        <v>9</v>
      </c>
      <c r="AE42" s="107">
        <f>SUM(AE40:AE41)</f>
        <v>324</v>
      </c>
    </row>
    <row r="43" spans="1:32" s="142" customFormat="1" ht="16.2" thickBot="1" x14ac:dyDescent="0.35">
      <c r="A43" s="121" t="s">
        <v>48</v>
      </c>
      <c r="B43" s="138">
        <f>B11+B25+B37+B42</f>
        <v>231714</v>
      </c>
      <c r="C43" s="134">
        <f>C11+C25+C37+C42</f>
        <v>132746</v>
      </c>
      <c r="D43" s="138">
        <f>D11+D25+D37+D42</f>
        <v>202587</v>
      </c>
      <c r="E43" s="134">
        <f>SUM(B43:D43)</f>
        <v>567047</v>
      </c>
      <c r="F43" s="134">
        <f t="shared" ref="F43:M43" si="24">F11+F25+F37+F42</f>
        <v>175739</v>
      </c>
      <c r="G43" s="122">
        <f t="shared" si="24"/>
        <v>976874</v>
      </c>
      <c r="H43" s="122">
        <f t="shared" si="24"/>
        <v>254</v>
      </c>
      <c r="I43" s="122">
        <f t="shared" si="24"/>
        <v>137</v>
      </c>
      <c r="J43" s="122">
        <f t="shared" si="24"/>
        <v>367</v>
      </c>
      <c r="K43" s="122">
        <f t="shared" si="24"/>
        <v>255</v>
      </c>
      <c r="L43" s="122">
        <f t="shared" si="24"/>
        <v>133</v>
      </c>
      <c r="M43" s="122">
        <f t="shared" si="24"/>
        <v>1146</v>
      </c>
      <c r="N43" s="123">
        <f t="shared" si="3"/>
        <v>0.11731297997489952</v>
      </c>
      <c r="O43" s="122">
        <f t="shared" ref="O43:T43" si="25">O11+O25+O37+O42</f>
        <v>265</v>
      </c>
      <c r="P43" s="122">
        <f t="shared" si="25"/>
        <v>155</v>
      </c>
      <c r="Q43" s="122">
        <f t="shared" si="25"/>
        <v>433</v>
      </c>
      <c r="R43" s="122">
        <f t="shared" si="25"/>
        <v>263</v>
      </c>
      <c r="S43" s="122">
        <f t="shared" si="25"/>
        <v>148</v>
      </c>
      <c r="T43" s="122">
        <f t="shared" si="25"/>
        <v>1264</v>
      </c>
      <c r="U43" s="123">
        <f t="shared" si="0"/>
        <v>0.12939232695311781</v>
      </c>
      <c r="V43" s="122">
        <f t="shared" ref="V43:AA43" si="26">V11+V25+V37+V42</f>
        <v>276</v>
      </c>
      <c r="W43" s="122">
        <f t="shared" si="26"/>
        <v>50</v>
      </c>
      <c r="X43" s="122">
        <f t="shared" si="26"/>
        <v>196</v>
      </c>
      <c r="Y43" s="122">
        <f t="shared" si="26"/>
        <v>65</v>
      </c>
      <c r="Z43" s="122">
        <f t="shared" si="26"/>
        <v>67</v>
      </c>
      <c r="AA43" s="122">
        <f t="shared" si="26"/>
        <v>654</v>
      </c>
      <c r="AB43" s="123">
        <f t="shared" si="1"/>
        <v>6.6948245116565705E-2</v>
      </c>
      <c r="AC43" s="122">
        <f>AC11+AC25+AC37+AC42</f>
        <v>295</v>
      </c>
      <c r="AD43" s="122">
        <f>AD11+AD25+AD37+AD42</f>
        <v>95</v>
      </c>
      <c r="AE43" s="122">
        <f>AE11+AE25+AE37+AE42</f>
        <v>3819</v>
      </c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ageMargins left="0.23622047244094491" right="0.23622047244094491" top="0.74803149606299213" bottom="0.74803149606299213" header="0.31496062992125984" footer="0.31496062992125984"/>
  <pageSetup paperSize="8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D7EC-CA86-438D-B2F7-1CCB218D6427}">
  <sheetPr>
    <pageSetUpPr fitToPage="1"/>
  </sheetPr>
  <dimension ref="A1:AT44"/>
  <sheetViews>
    <sheetView showGridLines="0" zoomScaleNormal="100" zoomScaleSheetLayoutView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N22" sqref="AN22"/>
    </sheetView>
  </sheetViews>
  <sheetFormatPr baseColWidth="10" defaultColWidth="11.5546875" defaultRowHeight="15" outlineLevelCol="1" x14ac:dyDescent="0.35"/>
  <cols>
    <col min="1" max="1" width="27.77734375" style="169" customWidth="1"/>
    <col min="2" max="6" width="10.77734375" style="169" customWidth="1" outlineLevel="1"/>
    <col min="7" max="7" width="10.77734375" style="169" customWidth="1"/>
    <col min="8" max="12" width="10.77734375" style="169" customWidth="1" outlineLevel="1"/>
    <col min="13" max="14" width="10.77734375" style="169" customWidth="1"/>
    <col min="15" max="19" width="10.77734375" style="169" customWidth="1" outlineLevel="1"/>
    <col min="20" max="21" width="10.77734375" style="169" customWidth="1"/>
    <col min="22" max="26" width="10.77734375" style="169" customWidth="1" outlineLevel="1"/>
    <col min="27" max="28" width="10.77734375" style="169" customWidth="1"/>
    <col min="29" max="33" width="10.77734375" style="169" customWidth="1" outlineLevel="1"/>
    <col min="34" max="34" width="10.77734375" style="169" customWidth="1"/>
    <col min="35" max="39" width="10.77734375" style="169" customWidth="1" outlineLevel="1"/>
    <col min="40" max="40" width="10.77734375" style="169" customWidth="1"/>
    <col min="41" max="41" width="10.77734375" style="169" customWidth="1" outlineLevel="1"/>
    <col min="42" max="45" width="10.88671875" style="169" customWidth="1" outlineLevel="1"/>
    <col min="46" max="16384" width="11.5546875" style="169"/>
  </cols>
  <sheetData>
    <row r="1" spans="1:46" ht="28.8" x14ac:dyDescent="0.65">
      <c r="A1" s="518" t="s">
        <v>104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241"/>
    </row>
    <row r="2" spans="1:46" ht="21.6" thickBot="1" x14ac:dyDescent="0.55000000000000004">
      <c r="A2" s="241"/>
      <c r="B2" s="241"/>
      <c r="C2" s="241"/>
      <c r="D2" s="241"/>
      <c r="E2" s="241"/>
      <c r="F2" s="241"/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</row>
    <row r="3" spans="1:46" ht="66" customHeight="1" thickBot="1" x14ac:dyDescent="0.4">
      <c r="A3" s="519" t="s">
        <v>24</v>
      </c>
      <c r="B3" s="520" t="s">
        <v>132</v>
      </c>
      <c r="C3" s="520"/>
      <c r="D3" s="520"/>
      <c r="E3" s="520"/>
      <c r="F3" s="520"/>
      <c r="G3" s="520"/>
      <c r="H3" s="521" t="s">
        <v>128</v>
      </c>
      <c r="I3" s="521"/>
      <c r="J3" s="521"/>
      <c r="K3" s="521"/>
      <c r="L3" s="521"/>
      <c r="M3" s="521"/>
      <c r="N3" s="520" t="s">
        <v>39</v>
      </c>
      <c r="O3" s="521" t="s">
        <v>127</v>
      </c>
      <c r="P3" s="521"/>
      <c r="Q3" s="521"/>
      <c r="R3" s="521"/>
      <c r="S3" s="521"/>
      <c r="T3" s="521"/>
      <c r="U3" s="522" t="s">
        <v>42</v>
      </c>
      <c r="V3" s="521" t="s">
        <v>43</v>
      </c>
      <c r="W3" s="521"/>
      <c r="X3" s="521"/>
      <c r="Y3" s="521"/>
      <c r="Z3" s="521"/>
      <c r="AA3" s="521"/>
      <c r="AB3" s="520" t="s">
        <v>42</v>
      </c>
      <c r="AC3" s="523" t="s">
        <v>131</v>
      </c>
      <c r="AD3" s="523"/>
      <c r="AE3" s="523"/>
      <c r="AF3" s="523"/>
      <c r="AG3" s="523"/>
      <c r="AH3" s="523"/>
      <c r="AI3" s="523" t="s">
        <v>129</v>
      </c>
      <c r="AJ3" s="523"/>
      <c r="AK3" s="523"/>
      <c r="AL3" s="523"/>
      <c r="AM3" s="523"/>
      <c r="AN3" s="523"/>
      <c r="AO3" s="523" t="s">
        <v>130</v>
      </c>
      <c r="AP3" s="523"/>
      <c r="AQ3" s="523"/>
      <c r="AR3" s="523"/>
      <c r="AS3" s="523"/>
      <c r="AT3" s="523"/>
    </row>
    <row r="4" spans="1:46" ht="15.6" thickBot="1" x14ac:dyDescent="0.4">
      <c r="A4" s="519"/>
      <c r="B4" s="312" t="s">
        <v>29</v>
      </c>
      <c r="C4" s="312" t="s">
        <v>30</v>
      </c>
      <c r="D4" s="312" t="s">
        <v>35</v>
      </c>
      <c r="E4" s="312" t="s">
        <v>31</v>
      </c>
      <c r="F4" s="312" t="s">
        <v>32</v>
      </c>
      <c r="G4" s="312" t="s">
        <v>21</v>
      </c>
      <c r="H4" s="313" t="s">
        <v>29</v>
      </c>
      <c r="I4" s="313" t="s">
        <v>30</v>
      </c>
      <c r="J4" s="313" t="s">
        <v>36</v>
      </c>
      <c r="K4" s="313" t="s">
        <v>33</v>
      </c>
      <c r="L4" s="313" t="s">
        <v>32</v>
      </c>
      <c r="M4" s="314" t="s">
        <v>21</v>
      </c>
      <c r="N4" s="520"/>
      <c r="O4" s="313" t="s">
        <v>29</v>
      </c>
      <c r="P4" s="313" t="s">
        <v>30</v>
      </c>
      <c r="Q4" s="313" t="s">
        <v>35</v>
      </c>
      <c r="R4" s="313" t="s">
        <v>31</v>
      </c>
      <c r="S4" s="313" t="s">
        <v>32</v>
      </c>
      <c r="T4" s="314" t="s">
        <v>21</v>
      </c>
      <c r="U4" s="522"/>
      <c r="V4" s="313" t="s">
        <v>29</v>
      </c>
      <c r="W4" s="313" t="s">
        <v>30</v>
      </c>
      <c r="X4" s="313" t="s">
        <v>36</v>
      </c>
      <c r="Y4" s="313" t="s">
        <v>33</v>
      </c>
      <c r="Z4" s="313" t="s">
        <v>32</v>
      </c>
      <c r="AA4" s="314" t="s">
        <v>21</v>
      </c>
      <c r="AB4" s="520"/>
      <c r="AC4" s="313" t="s">
        <v>29</v>
      </c>
      <c r="AD4" s="313" t="s">
        <v>30</v>
      </c>
      <c r="AE4" s="313" t="s">
        <v>36</v>
      </c>
      <c r="AF4" s="313" t="s">
        <v>33</v>
      </c>
      <c r="AG4" s="313" t="s">
        <v>32</v>
      </c>
      <c r="AH4" s="314" t="s">
        <v>21</v>
      </c>
      <c r="AI4" s="313" t="s">
        <v>29</v>
      </c>
      <c r="AJ4" s="313" t="s">
        <v>30</v>
      </c>
      <c r="AK4" s="313" t="s">
        <v>36</v>
      </c>
      <c r="AL4" s="313" t="s">
        <v>33</v>
      </c>
      <c r="AM4" s="313" t="s">
        <v>32</v>
      </c>
      <c r="AN4" s="314" t="s">
        <v>21</v>
      </c>
      <c r="AO4" s="313" t="s">
        <v>29</v>
      </c>
      <c r="AP4" s="313" t="s">
        <v>30</v>
      </c>
      <c r="AQ4" s="313" t="s">
        <v>36</v>
      </c>
      <c r="AR4" s="313" t="s">
        <v>33</v>
      </c>
      <c r="AS4" s="313" t="s">
        <v>32</v>
      </c>
      <c r="AT4" s="314" t="s">
        <v>21</v>
      </c>
    </row>
    <row r="5" spans="1:46" ht="15.6" x14ac:dyDescent="0.35">
      <c r="A5" s="247"/>
      <c r="B5" s="247"/>
      <c r="C5" s="247"/>
      <c r="D5" s="247"/>
      <c r="E5" s="247"/>
      <c r="F5" s="247"/>
      <c r="G5" s="248"/>
      <c r="H5" s="247"/>
      <c r="I5" s="247"/>
      <c r="J5" s="247"/>
      <c r="K5" s="247"/>
      <c r="L5" s="315"/>
      <c r="M5" s="315"/>
      <c r="N5" s="315"/>
      <c r="O5" s="247"/>
      <c r="P5" s="247"/>
      <c r="Q5" s="247"/>
      <c r="R5" s="247"/>
      <c r="S5" s="247"/>
      <c r="T5" s="247"/>
      <c r="U5" s="316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</row>
    <row r="6" spans="1:46" ht="16.2" thickBot="1" x14ac:dyDescent="0.4">
      <c r="A6" s="250" t="s">
        <v>49</v>
      </c>
      <c r="B6" s="250"/>
      <c r="C6" s="250"/>
      <c r="D6" s="250"/>
      <c r="E6" s="250"/>
      <c r="F6" s="250"/>
      <c r="G6" s="317"/>
      <c r="H6" s="250"/>
      <c r="I6" s="250"/>
      <c r="J6" s="250"/>
      <c r="K6" s="250"/>
      <c r="L6" s="251"/>
      <c r="M6" s="251"/>
      <c r="N6" s="251"/>
      <c r="O6" s="250"/>
      <c r="P6" s="250"/>
      <c r="Q6" s="250"/>
      <c r="R6" s="250"/>
      <c r="S6" s="250"/>
      <c r="T6" s="250"/>
      <c r="U6" s="318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</row>
    <row r="7" spans="1:46" ht="15" customHeight="1" thickBot="1" x14ac:dyDescent="0.4">
      <c r="A7" s="319" t="s">
        <v>1</v>
      </c>
      <c r="B7" s="256">
        <f>52+4+2</f>
        <v>58</v>
      </c>
      <c r="C7" s="256">
        <v>55</v>
      </c>
      <c r="D7" s="256">
        <v>113</v>
      </c>
      <c r="E7" s="257">
        <v>80</v>
      </c>
      <c r="F7" s="256">
        <v>34</v>
      </c>
      <c r="G7" s="259">
        <f>SUM(B7:F7)</f>
        <v>340</v>
      </c>
      <c r="H7" s="256">
        <f>1</f>
        <v>1</v>
      </c>
      <c r="I7" s="256">
        <v>1</v>
      </c>
      <c r="J7" s="256">
        <v>1</v>
      </c>
      <c r="K7" s="256">
        <v>1</v>
      </c>
      <c r="L7" s="256">
        <v>0</v>
      </c>
      <c r="M7" s="263">
        <f>SUM(H7:L7)</f>
        <v>4</v>
      </c>
      <c r="N7" s="261">
        <f t="shared" ref="N7:N12" si="0">M7*100/G7</f>
        <v>1.1764705882352942</v>
      </c>
      <c r="O7" s="256">
        <v>0</v>
      </c>
      <c r="P7" s="256">
        <v>3</v>
      </c>
      <c r="Q7" s="256">
        <v>1</v>
      </c>
      <c r="R7" s="256">
        <v>0</v>
      </c>
      <c r="S7" s="256">
        <v>0</v>
      </c>
      <c r="T7" s="263">
        <f>SUM(O7:S7)</f>
        <v>4</v>
      </c>
      <c r="U7" s="261">
        <f t="shared" ref="U7:U12" si="1">T7*100/G7</f>
        <v>1.1764705882352942</v>
      </c>
      <c r="V7" s="256">
        <f>1</f>
        <v>1</v>
      </c>
      <c r="W7" s="256">
        <v>0</v>
      </c>
      <c r="X7" s="256">
        <v>0</v>
      </c>
      <c r="Y7" s="256">
        <v>0</v>
      </c>
      <c r="Z7" s="256">
        <v>0</v>
      </c>
      <c r="AA7" s="256">
        <f>SUM(V7:Z7)</f>
        <v>1</v>
      </c>
      <c r="AB7" s="261">
        <f t="shared" ref="AB7:AB12" si="2">AA7*100/G7</f>
        <v>0.29411764705882354</v>
      </c>
      <c r="AC7" s="256">
        <v>0</v>
      </c>
      <c r="AD7" s="256">
        <v>0</v>
      </c>
      <c r="AE7" s="256">
        <v>0</v>
      </c>
      <c r="AF7" s="256">
        <v>0</v>
      </c>
      <c r="AG7" s="256">
        <v>0</v>
      </c>
      <c r="AH7" s="256">
        <f>SUM(AC7:AG7)</f>
        <v>0</v>
      </c>
      <c r="AI7" s="263">
        <v>0</v>
      </c>
      <c r="AJ7" s="263">
        <v>0</v>
      </c>
      <c r="AK7" s="263">
        <v>0</v>
      </c>
      <c r="AL7" s="263">
        <v>0</v>
      </c>
      <c r="AM7" s="263">
        <v>0</v>
      </c>
      <c r="AN7" s="256">
        <f>SUM(AI7:AM7)</f>
        <v>0</v>
      </c>
      <c r="AO7" s="263">
        <v>1</v>
      </c>
      <c r="AP7" s="263">
        <v>0</v>
      </c>
      <c r="AQ7" s="263">
        <v>6</v>
      </c>
      <c r="AR7" s="263">
        <v>0</v>
      </c>
      <c r="AS7" s="263">
        <v>0</v>
      </c>
      <c r="AT7" s="256">
        <f>SUM(AO7:AS7)</f>
        <v>7</v>
      </c>
    </row>
    <row r="8" spans="1:46" ht="16.2" thickBot="1" x14ac:dyDescent="0.4">
      <c r="A8" s="320" t="s">
        <v>2</v>
      </c>
      <c r="B8" s="256">
        <f>424+30+12</f>
        <v>466</v>
      </c>
      <c r="C8" s="256">
        <v>240</v>
      </c>
      <c r="D8" s="256">
        <v>785</v>
      </c>
      <c r="E8" s="257">
        <v>642</v>
      </c>
      <c r="F8" s="256">
        <v>270</v>
      </c>
      <c r="G8" s="259">
        <f>SUM(B8:F8)</f>
        <v>2403</v>
      </c>
      <c r="H8" s="256">
        <f>1</f>
        <v>1</v>
      </c>
      <c r="I8" s="256">
        <v>2</v>
      </c>
      <c r="J8" s="256">
        <v>2</v>
      </c>
      <c r="K8" s="256">
        <v>5</v>
      </c>
      <c r="L8" s="256">
        <v>0</v>
      </c>
      <c r="M8" s="256">
        <f>SUM(H8:L8)</f>
        <v>10</v>
      </c>
      <c r="N8" s="261">
        <f t="shared" si="0"/>
        <v>0.4161464835622139</v>
      </c>
      <c r="O8" s="256">
        <f>2</f>
        <v>2</v>
      </c>
      <c r="P8" s="256">
        <v>2</v>
      </c>
      <c r="Q8" s="256">
        <v>9</v>
      </c>
      <c r="R8" s="256">
        <v>4</v>
      </c>
      <c r="S8" s="256">
        <v>0</v>
      </c>
      <c r="T8" s="256">
        <f>SUM(O8:S8)</f>
        <v>17</v>
      </c>
      <c r="U8" s="261">
        <f t="shared" si="1"/>
        <v>0.70744902205576365</v>
      </c>
      <c r="V8" s="256">
        <v>0</v>
      </c>
      <c r="W8" s="256">
        <v>0</v>
      </c>
      <c r="X8" s="256">
        <v>1</v>
      </c>
      <c r="Y8" s="256">
        <v>2</v>
      </c>
      <c r="Z8" s="256">
        <v>0</v>
      </c>
      <c r="AA8" s="256">
        <f>SUM(V8:Z8)</f>
        <v>3</v>
      </c>
      <c r="AB8" s="261">
        <f t="shared" si="2"/>
        <v>0.12484394506866417</v>
      </c>
      <c r="AC8" s="256">
        <f>2</f>
        <v>2</v>
      </c>
      <c r="AD8" s="256">
        <v>1</v>
      </c>
      <c r="AE8" s="256">
        <v>1</v>
      </c>
      <c r="AF8" s="256">
        <v>0</v>
      </c>
      <c r="AG8" s="256">
        <v>0</v>
      </c>
      <c r="AH8" s="256">
        <f t="shared" ref="AH8:AH11" si="3">SUM(AC8:AG8)</f>
        <v>4</v>
      </c>
      <c r="AI8" s="263">
        <v>0</v>
      </c>
      <c r="AJ8" s="263">
        <v>0</v>
      </c>
      <c r="AK8" s="263">
        <v>2</v>
      </c>
      <c r="AL8" s="263">
        <v>1</v>
      </c>
      <c r="AM8" s="263">
        <v>0</v>
      </c>
      <c r="AN8" s="256">
        <f t="shared" ref="AN8:AN11" si="4">SUM(AI8:AM8)</f>
        <v>3</v>
      </c>
      <c r="AO8" s="263">
        <f>4</f>
        <v>4</v>
      </c>
      <c r="AP8" s="263">
        <v>26</v>
      </c>
      <c r="AQ8" s="263">
        <v>18</v>
      </c>
      <c r="AR8" s="263">
        <v>7</v>
      </c>
      <c r="AS8" s="263">
        <v>0</v>
      </c>
      <c r="AT8" s="256">
        <f t="shared" ref="AT8:AT11" si="5">SUM(AO8:AS8)</f>
        <v>55</v>
      </c>
    </row>
    <row r="9" spans="1:46" ht="16.2" thickBot="1" x14ac:dyDescent="0.4">
      <c r="A9" s="320" t="s">
        <v>14</v>
      </c>
      <c r="B9" s="256">
        <f>38+3+0</f>
        <v>41</v>
      </c>
      <c r="C9" s="256">
        <v>38</v>
      </c>
      <c r="D9" s="256">
        <v>86</v>
      </c>
      <c r="E9" s="257">
        <v>88</v>
      </c>
      <c r="F9" s="256">
        <v>34</v>
      </c>
      <c r="G9" s="259">
        <f>SUM(B9:F9)</f>
        <v>287</v>
      </c>
      <c r="H9" s="256">
        <v>0</v>
      </c>
      <c r="I9" s="256">
        <v>0</v>
      </c>
      <c r="J9" s="256">
        <v>0</v>
      </c>
      <c r="K9" s="256">
        <v>0</v>
      </c>
      <c r="L9" s="256">
        <v>0</v>
      </c>
      <c r="M9" s="263">
        <f>SUM(H9:L9)</f>
        <v>0</v>
      </c>
      <c r="N9" s="261">
        <f t="shared" si="0"/>
        <v>0</v>
      </c>
      <c r="O9" s="256">
        <v>0</v>
      </c>
      <c r="P9" s="256">
        <v>0</v>
      </c>
      <c r="Q9" s="256">
        <v>2</v>
      </c>
      <c r="R9" s="256">
        <v>0</v>
      </c>
      <c r="S9" s="256">
        <v>0</v>
      </c>
      <c r="T9" s="263">
        <f>SUM(O9:S9)</f>
        <v>2</v>
      </c>
      <c r="U9" s="261">
        <f t="shared" si="1"/>
        <v>0.69686411149825789</v>
      </c>
      <c r="V9" s="256">
        <v>0</v>
      </c>
      <c r="W9" s="256">
        <v>0</v>
      </c>
      <c r="X9" s="256">
        <v>0</v>
      </c>
      <c r="Y9" s="256">
        <v>0</v>
      </c>
      <c r="Z9" s="256">
        <v>0</v>
      </c>
      <c r="AA9" s="256">
        <f>SUM(V9:Z9)</f>
        <v>0</v>
      </c>
      <c r="AB9" s="261">
        <f t="shared" si="2"/>
        <v>0</v>
      </c>
      <c r="AC9" s="256">
        <v>0</v>
      </c>
      <c r="AD9" s="256">
        <v>0</v>
      </c>
      <c r="AE9" s="256">
        <v>0</v>
      </c>
      <c r="AF9" s="256">
        <v>0</v>
      </c>
      <c r="AG9" s="256">
        <v>0</v>
      </c>
      <c r="AH9" s="256">
        <f t="shared" si="3"/>
        <v>0</v>
      </c>
      <c r="AI9" s="263">
        <v>0</v>
      </c>
      <c r="AJ9" s="263">
        <v>0</v>
      </c>
      <c r="AK9" s="263">
        <v>0</v>
      </c>
      <c r="AL9" s="263">
        <v>0</v>
      </c>
      <c r="AM9" s="263">
        <v>0</v>
      </c>
      <c r="AN9" s="256">
        <f t="shared" si="4"/>
        <v>0</v>
      </c>
      <c r="AO9" s="263">
        <v>0</v>
      </c>
      <c r="AP9" s="263">
        <v>0</v>
      </c>
      <c r="AQ9" s="263">
        <v>4</v>
      </c>
      <c r="AR9" s="263">
        <v>0</v>
      </c>
      <c r="AS9" s="263">
        <v>0</v>
      </c>
      <c r="AT9" s="256">
        <f t="shared" si="5"/>
        <v>4</v>
      </c>
    </row>
    <row r="10" spans="1:46" ht="16.2" thickBot="1" x14ac:dyDescent="0.4">
      <c r="A10" s="320" t="s">
        <v>3</v>
      </c>
      <c r="B10" s="256">
        <f>71+1+0</f>
        <v>72</v>
      </c>
      <c r="C10" s="256">
        <v>71</v>
      </c>
      <c r="D10" s="256">
        <v>144</v>
      </c>
      <c r="E10" s="257">
        <v>108</v>
      </c>
      <c r="F10" s="256">
        <v>32</v>
      </c>
      <c r="G10" s="259">
        <f>SUM(B10:F10)</f>
        <v>427</v>
      </c>
      <c r="H10" s="256">
        <v>0</v>
      </c>
      <c r="I10" s="256">
        <v>0</v>
      </c>
      <c r="J10" s="256">
        <v>0</v>
      </c>
      <c r="K10" s="256">
        <v>1</v>
      </c>
      <c r="L10" s="256">
        <v>0</v>
      </c>
      <c r="M10" s="256">
        <f>SUM(H10:L10)</f>
        <v>1</v>
      </c>
      <c r="N10" s="261">
        <f t="shared" si="0"/>
        <v>0.23419203747072601</v>
      </c>
      <c r="O10" s="256">
        <v>0</v>
      </c>
      <c r="P10" s="256">
        <v>0</v>
      </c>
      <c r="Q10" s="256">
        <v>1</v>
      </c>
      <c r="R10" s="256">
        <v>1</v>
      </c>
      <c r="S10" s="256">
        <v>0</v>
      </c>
      <c r="T10" s="256">
        <f>SUM(O10:S10)</f>
        <v>2</v>
      </c>
      <c r="U10" s="261">
        <f t="shared" si="1"/>
        <v>0.46838407494145201</v>
      </c>
      <c r="V10" s="256">
        <v>0</v>
      </c>
      <c r="W10" s="256">
        <v>0</v>
      </c>
      <c r="X10" s="256">
        <v>1</v>
      </c>
      <c r="Y10" s="256">
        <v>2</v>
      </c>
      <c r="Z10" s="256">
        <v>0</v>
      </c>
      <c r="AA10" s="256">
        <f>SUM(V10:Z10)</f>
        <v>3</v>
      </c>
      <c r="AB10" s="261">
        <f t="shared" si="2"/>
        <v>0.70257611241217799</v>
      </c>
      <c r="AC10" s="256">
        <f>1</f>
        <v>1</v>
      </c>
      <c r="AD10" s="256">
        <v>0</v>
      </c>
      <c r="AE10" s="256">
        <v>0</v>
      </c>
      <c r="AF10" s="256">
        <v>0</v>
      </c>
      <c r="AG10" s="256">
        <v>0</v>
      </c>
      <c r="AH10" s="256">
        <f t="shared" si="3"/>
        <v>1</v>
      </c>
      <c r="AI10" s="263">
        <v>0</v>
      </c>
      <c r="AJ10" s="263">
        <v>0</v>
      </c>
      <c r="AK10" s="263">
        <v>0</v>
      </c>
      <c r="AL10" s="263">
        <v>0</v>
      </c>
      <c r="AM10" s="263">
        <v>0</v>
      </c>
      <c r="AN10" s="256">
        <f t="shared" si="4"/>
        <v>0</v>
      </c>
      <c r="AO10" s="263">
        <v>0</v>
      </c>
      <c r="AP10" s="263">
        <v>1</v>
      </c>
      <c r="AQ10" s="263">
        <v>5</v>
      </c>
      <c r="AR10" s="263">
        <v>2</v>
      </c>
      <c r="AS10" s="263">
        <v>0</v>
      </c>
      <c r="AT10" s="256">
        <f t="shared" si="5"/>
        <v>8</v>
      </c>
    </row>
    <row r="11" spans="1:46" ht="27" thickBot="1" x14ac:dyDescent="0.4">
      <c r="A11" s="321" t="s">
        <v>23</v>
      </c>
      <c r="B11" s="256">
        <f>611+10+12</f>
        <v>633</v>
      </c>
      <c r="C11" s="256">
        <v>255</v>
      </c>
      <c r="D11" s="256">
        <v>860</v>
      </c>
      <c r="E11" s="257">
        <v>755</v>
      </c>
      <c r="F11" s="256">
        <v>279</v>
      </c>
      <c r="G11" s="259">
        <f>SUM(B11:F11)</f>
        <v>2782</v>
      </c>
      <c r="H11" s="256">
        <f>1</f>
        <v>1</v>
      </c>
      <c r="I11" s="256">
        <v>2</v>
      </c>
      <c r="J11" s="256">
        <v>1</v>
      </c>
      <c r="K11" s="256">
        <v>5</v>
      </c>
      <c r="L11" s="256">
        <v>0</v>
      </c>
      <c r="M11" s="256">
        <f>SUM(H11:L11)</f>
        <v>9</v>
      </c>
      <c r="N11" s="261">
        <f t="shared" si="0"/>
        <v>0.32350826743350108</v>
      </c>
      <c r="O11" s="256">
        <f>1+1</f>
        <v>2</v>
      </c>
      <c r="P11" s="256">
        <v>4</v>
      </c>
      <c r="Q11" s="256">
        <v>4</v>
      </c>
      <c r="R11" s="256">
        <v>3</v>
      </c>
      <c r="S11" s="256">
        <v>0</v>
      </c>
      <c r="T11" s="322">
        <f>SUM(O11:S11)</f>
        <v>13</v>
      </c>
      <c r="U11" s="261">
        <f t="shared" si="1"/>
        <v>0.46728971962616822</v>
      </c>
      <c r="V11" s="256">
        <f>1</f>
        <v>1</v>
      </c>
      <c r="W11" s="256">
        <v>2</v>
      </c>
      <c r="X11" s="256">
        <v>0</v>
      </c>
      <c r="Y11" s="256">
        <v>1</v>
      </c>
      <c r="Z11" s="256">
        <v>0</v>
      </c>
      <c r="AA11" s="256">
        <f>SUM(V11:Z11)</f>
        <v>4</v>
      </c>
      <c r="AB11" s="261">
        <f t="shared" si="2"/>
        <v>0.14378145219266714</v>
      </c>
      <c r="AC11" s="256">
        <f>5</f>
        <v>5</v>
      </c>
      <c r="AD11" s="256">
        <v>1</v>
      </c>
      <c r="AE11" s="256">
        <v>1</v>
      </c>
      <c r="AF11" s="256">
        <v>0</v>
      </c>
      <c r="AG11" s="256">
        <v>0</v>
      </c>
      <c r="AH11" s="256">
        <f t="shared" si="3"/>
        <v>7</v>
      </c>
      <c r="AI11" s="263">
        <v>0</v>
      </c>
      <c r="AJ11" s="263">
        <v>0</v>
      </c>
      <c r="AK11" s="263">
        <v>0</v>
      </c>
      <c r="AL11" s="263">
        <v>0</v>
      </c>
      <c r="AM11" s="263">
        <v>0</v>
      </c>
      <c r="AN11" s="256">
        <f t="shared" si="4"/>
        <v>0</v>
      </c>
      <c r="AO11" s="263">
        <f>16</f>
        <v>16</v>
      </c>
      <c r="AP11" s="263">
        <v>10</v>
      </c>
      <c r="AQ11" s="263">
        <v>13</v>
      </c>
      <c r="AR11" s="263">
        <v>4</v>
      </c>
      <c r="AS11" s="263">
        <v>2</v>
      </c>
      <c r="AT11" s="256">
        <f t="shared" si="5"/>
        <v>45</v>
      </c>
    </row>
    <row r="12" spans="1:46" s="240" customFormat="1" ht="16.2" thickBot="1" x14ac:dyDescent="0.4">
      <c r="A12" s="323" t="s">
        <v>21</v>
      </c>
      <c r="B12" s="270">
        <f t="shared" ref="B12:I12" si="6">SUM(B7:B11)</f>
        <v>1270</v>
      </c>
      <c r="C12" s="270">
        <f t="shared" si="6"/>
        <v>659</v>
      </c>
      <c r="D12" s="270">
        <f t="shared" si="6"/>
        <v>1988</v>
      </c>
      <c r="E12" s="270">
        <f t="shared" si="6"/>
        <v>1673</v>
      </c>
      <c r="F12" s="270">
        <f t="shared" si="6"/>
        <v>649</v>
      </c>
      <c r="G12" s="272">
        <f t="shared" si="6"/>
        <v>6239</v>
      </c>
      <c r="H12" s="274">
        <f t="shared" si="6"/>
        <v>3</v>
      </c>
      <c r="I12" s="274">
        <f t="shared" si="6"/>
        <v>5</v>
      </c>
      <c r="J12" s="274">
        <f t="shared" ref="J12:M12" si="7">SUM(J7:J11)</f>
        <v>4</v>
      </c>
      <c r="K12" s="274">
        <f t="shared" si="7"/>
        <v>12</v>
      </c>
      <c r="L12" s="274">
        <f t="shared" si="7"/>
        <v>0</v>
      </c>
      <c r="M12" s="276">
        <f t="shared" si="7"/>
        <v>24</v>
      </c>
      <c r="N12" s="278">
        <f t="shared" si="0"/>
        <v>0.38467703157557298</v>
      </c>
      <c r="O12" s="270">
        <f>SUM(O7:O11)</f>
        <v>4</v>
      </c>
      <c r="P12" s="270">
        <f t="shared" ref="P12:T12" si="8">SUM(P7:P11)</f>
        <v>9</v>
      </c>
      <c r="Q12" s="270">
        <f t="shared" si="8"/>
        <v>17</v>
      </c>
      <c r="R12" s="270">
        <f>SUM(R7:R11)</f>
        <v>8</v>
      </c>
      <c r="S12" s="270">
        <f t="shared" si="8"/>
        <v>0</v>
      </c>
      <c r="T12" s="276">
        <f t="shared" si="8"/>
        <v>38</v>
      </c>
      <c r="U12" s="278">
        <f t="shared" si="1"/>
        <v>0.6090719666613239</v>
      </c>
      <c r="V12" s="270">
        <f t="shared" ref="V12:AA12" si="9">SUM(V7:V11)</f>
        <v>2</v>
      </c>
      <c r="W12" s="270">
        <f t="shared" si="9"/>
        <v>2</v>
      </c>
      <c r="X12" s="270">
        <f t="shared" si="9"/>
        <v>2</v>
      </c>
      <c r="Y12" s="270">
        <f>SUM(Y7:Y11)</f>
        <v>5</v>
      </c>
      <c r="Z12" s="270">
        <f t="shared" si="9"/>
        <v>0</v>
      </c>
      <c r="AA12" s="280">
        <f t="shared" si="9"/>
        <v>11</v>
      </c>
      <c r="AB12" s="278">
        <f t="shared" si="2"/>
        <v>0.1763103061388043</v>
      </c>
      <c r="AC12" s="270">
        <f>SUM(AC7:AC11)</f>
        <v>8</v>
      </c>
      <c r="AD12" s="270">
        <f t="shared" ref="AD12:AG12" si="10">SUM(AD7:AD11)</f>
        <v>2</v>
      </c>
      <c r="AE12" s="270">
        <f t="shared" si="10"/>
        <v>2</v>
      </c>
      <c r="AF12" s="270">
        <f>SUM(AF7:AF11)</f>
        <v>0</v>
      </c>
      <c r="AG12" s="270">
        <f t="shared" si="10"/>
        <v>0</v>
      </c>
      <c r="AH12" s="281">
        <f>SUM(AH7:AH11)</f>
        <v>12</v>
      </c>
      <c r="AI12" s="270">
        <f>SUM(AI7:AI11)</f>
        <v>0</v>
      </c>
      <c r="AJ12" s="270">
        <f t="shared" ref="AJ12:AM12" si="11">SUM(AJ7:AJ11)</f>
        <v>0</v>
      </c>
      <c r="AK12" s="270">
        <f t="shared" si="11"/>
        <v>2</v>
      </c>
      <c r="AL12" s="270">
        <f>SUM(AL7:AL11)</f>
        <v>1</v>
      </c>
      <c r="AM12" s="270">
        <f t="shared" si="11"/>
        <v>0</v>
      </c>
      <c r="AN12" s="281">
        <f>SUM(AN7:AN11)</f>
        <v>3</v>
      </c>
      <c r="AO12" s="270">
        <f>SUM(AO7:AO11)</f>
        <v>21</v>
      </c>
      <c r="AP12" s="270">
        <f t="shared" ref="AP12:AS12" si="12">SUM(AP7:AP11)</f>
        <v>37</v>
      </c>
      <c r="AQ12" s="270">
        <f t="shared" si="12"/>
        <v>46</v>
      </c>
      <c r="AR12" s="270">
        <f>SUM(AR7:AR11)</f>
        <v>13</v>
      </c>
      <c r="AS12" s="270">
        <f t="shared" si="12"/>
        <v>2</v>
      </c>
      <c r="AT12" s="281">
        <f>SUM(AT7:AT11)</f>
        <v>119</v>
      </c>
    </row>
    <row r="13" spans="1:46" ht="15.6" x14ac:dyDescent="0.35">
      <c r="A13" s="287"/>
      <c r="B13" s="288"/>
      <c r="C13" s="288"/>
      <c r="D13" s="288"/>
      <c r="E13" s="288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</row>
    <row r="14" spans="1:46" ht="16.2" thickBot="1" x14ac:dyDescent="0.4">
      <c r="A14" s="289" t="s">
        <v>51</v>
      </c>
      <c r="B14" s="290"/>
      <c r="C14" s="290"/>
      <c r="D14" s="290"/>
      <c r="E14" s="290"/>
      <c r="F14" s="291"/>
      <c r="G14" s="284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</row>
    <row r="15" spans="1:46" ht="16.2" thickBot="1" x14ac:dyDescent="0.4">
      <c r="A15" s="319" t="s">
        <v>4</v>
      </c>
      <c r="B15" s="256">
        <f>13+1</f>
        <v>14</v>
      </c>
      <c r="C15" s="256">
        <v>5</v>
      </c>
      <c r="D15" s="256">
        <v>25</v>
      </c>
      <c r="E15" s="256">
        <v>47</v>
      </c>
      <c r="F15" s="256">
        <v>5</v>
      </c>
      <c r="G15" s="259">
        <f>SUM(B15:F15)</f>
        <v>96</v>
      </c>
      <c r="H15" s="256">
        <v>0</v>
      </c>
      <c r="I15" s="256">
        <v>0</v>
      </c>
      <c r="J15" s="256">
        <v>0</v>
      </c>
      <c r="K15" s="256">
        <v>0</v>
      </c>
      <c r="L15" s="256">
        <v>0</v>
      </c>
      <c r="M15" s="263">
        <f>SUM(H15:L15)</f>
        <v>0</v>
      </c>
      <c r="N15" s="261">
        <f t="shared" ref="N15:N26" si="13">M15*100/G15</f>
        <v>0</v>
      </c>
      <c r="O15" s="256">
        <v>0</v>
      </c>
      <c r="P15" s="256">
        <v>0</v>
      </c>
      <c r="Q15" s="256">
        <v>0</v>
      </c>
      <c r="R15" s="256">
        <v>0</v>
      </c>
      <c r="S15" s="256">
        <v>0</v>
      </c>
      <c r="T15" s="256">
        <f>SUM(O15:S15)</f>
        <v>0</v>
      </c>
      <c r="U15" s="261">
        <f t="shared" ref="U15:U26" si="14">T15*100/G15</f>
        <v>0</v>
      </c>
      <c r="V15" s="256">
        <v>0</v>
      </c>
      <c r="W15" s="256">
        <v>0</v>
      </c>
      <c r="X15" s="256">
        <v>0</v>
      </c>
      <c r="Y15" s="256">
        <v>0</v>
      </c>
      <c r="Z15" s="256">
        <v>0</v>
      </c>
      <c r="AA15" s="263">
        <f>SUM(V15:Z15)</f>
        <v>0</v>
      </c>
      <c r="AB15" s="261">
        <f t="shared" ref="AB15:AB26" si="15">AA15*100/G15</f>
        <v>0</v>
      </c>
      <c r="AC15" s="256">
        <v>0</v>
      </c>
      <c r="AD15" s="256">
        <v>0</v>
      </c>
      <c r="AE15" s="256">
        <v>0</v>
      </c>
      <c r="AF15" s="256">
        <v>0</v>
      </c>
      <c r="AG15" s="256">
        <v>0</v>
      </c>
      <c r="AH15" s="256">
        <f>SUM(AC15:AG15)</f>
        <v>0</v>
      </c>
      <c r="AI15" s="263">
        <v>0</v>
      </c>
      <c r="AJ15" s="263">
        <v>0</v>
      </c>
      <c r="AK15" s="263">
        <v>0</v>
      </c>
      <c r="AL15" s="263">
        <v>0</v>
      </c>
      <c r="AM15" s="263">
        <v>0</v>
      </c>
      <c r="AN15" s="256">
        <f>SUM(AI15:AM15)</f>
        <v>0</v>
      </c>
      <c r="AO15" s="263">
        <v>0</v>
      </c>
      <c r="AP15" s="263">
        <v>1</v>
      </c>
      <c r="AQ15" s="263">
        <v>0</v>
      </c>
      <c r="AR15" s="263">
        <v>0</v>
      </c>
      <c r="AS15" s="263">
        <v>0</v>
      </c>
      <c r="AT15" s="256">
        <f>SUM(AO15:AS15)</f>
        <v>1</v>
      </c>
    </row>
    <row r="16" spans="1:46" ht="16.2" thickBot="1" x14ac:dyDescent="0.4">
      <c r="A16" s="319" t="s">
        <v>5</v>
      </c>
      <c r="B16" s="256">
        <f>212+19+6</f>
        <v>237</v>
      </c>
      <c r="C16" s="256">
        <v>75</v>
      </c>
      <c r="D16" s="256">
        <v>318</v>
      </c>
      <c r="E16" s="256">
        <v>439</v>
      </c>
      <c r="F16" s="256">
        <v>101</v>
      </c>
      <c r="G16" s="259">
        <f t="shared" ref="G16:G25" si="16">SUM(B16:F16)</f>
        <v>1170</v>
      </c>
      <c r="H16" s="256">
        <f>2+1</f>
        <v>3</v>
      </c>
      <c r="I16" s="256">
        <v>1</v>
      </c>
      <c r="J16" s="256">
        <v>1</v>
      </c>
      <c r="K16" s="256">
        <v>1</v>
      </c>
      <c r="L16" s="256">
        <v>0</v>
      </c>
      <c r="M16" s="256">
        <f>SUM(H16:L16)</f>
        <v>6</v>
      </c>
      <c r="N16" s="261">
        <f t="shared" si="13"/>
        <v>0.51282051282051277</v>
      </c>
      <c r="O16" s="256">
        <v>1</v>
      </c>
      <c r="P16" s="256">
        <v>2</v>
      </c>
      <c r="Q16" s="256">
        <v>1</v>
      </c>
      <c r="R16" s="256">
        <v>3</v>
      </c>
      <c r="S16" s="256">
        <v>0</v>
      </c>
      <c r="T16" s="256">
        <f>SUM(O16:S16)</f>
        <v>7</v>
      </c>
      <c r="U16" s="261">
        <f t="shared" si="14"/>
        <v>0.59829059829059827</v>
      </c>
      <c r="V16" s="256">
        <f>2</f>
        <v>2</v>
      </c>
      <c r="W16" s="256">
        <v>0</v>
      </c>
      <c r="X16" s="256">
        <v>4</v>
      </c>
      <c r="Y16" s="256">
        <v>0</v>
      </c>
      <c r="Z16" s="256">
        <v>0</v>
      </c>
      <c r="AA16" s="256">
        <f>SUM(V16:Z16)</f>
        <v>6</v>
      </c>
      <c r="AB16" s="261">
        <f t="shared" si="15"/>
        <v>0.51282051282051277</v>
      </c>
      <c r="AC16" s="256">
        <f>1</f>
        <v>1</v>
      </c>
      <c r="AD16" s="256">
        <v>0</v>
      </c>
      <c r="AE16" s="256">
        <v>0</v>
      </c>
      <c r="AF16" s="256">
        <v>0</v>
      </c>
      <c r="AG16" s="256">
        <v>0</v>
      </c>
      <c r="AH16" s="256">
        <f t="shared" ref="AH16:AH25" si="17">SUM(AC16:AG16)</f>
        <v>1</v>
      </c>
      <c r="AI16" s="263">
        <f>1</f>
        <v>1</v>
      </c>
      <c r="AJ16" s="263">
        <v>1</v>
      </c>
      <c r="AK16" s="263">
        <v>1</v>
      </c>
      <c r="AL16" s="263">
        <v>0</v>
      </c>
      <c r="AM16" s="263">
        <v>0</v>
      </c>
      <c r="AN16" s="256">
        <f t="shared" ref="AN16:AN25" si="18">SUM(AI16:AM16)</f>
        <v>3</v>
      </c>
      <c r="AO16" s="263">
        <v>1</v>
      </c>
      <c r="AP16" s="263">
        <v>3</v>
      </c>
      <c r="AQ16" s="263">
        <v>10</v>
      </c>
      <c r="AR16" s="263">
        <v>1</v>
      </c>
      <c r="AS16" s="263">
        <v>0</v>
      </c>
      <c r="AT16" s="256">
        <f t="shared" ref="AT16:AT25" si="19">SUM(AO16:AS16)</f>
        <v>15</v>
      </c>
    </row>
    <row r="17" spans="1:46" ht="16.2" thickBot="1" x14ac:dyDescent="0.4">
      <c r="A17" s="319" t="s">
        <v>6</v>
      </c>
      <c r="B17" s="292">
        <f>26+2+2</f>
        <v>30</v>
      </c>
      <c r="C17" s="256">
        <v>21</v>
      </c>
      <c r="D17" s="256">
        <v>65</v>
      </c>
      <c r="E17" s="256">
        <v>59</v>
      </c>
      <c r="F17" s="256">
        <v>21</v>
      </c>
      <c r="G17" s="259">
        <f t="shared" si="16"/>
        <v>196</v>
      </c>
      <c r="H17" s="256">
        <v>0</v>
      </c>
      <c r="I17" s="256">
        <v>0</v>
      </c>
      <c r="J17" s="256">
        <v>0</v>
      </c>
      <c r="K17" s="256">
        <v>1</v>
      </c>
      <c r="L17" s="256">
        <v>0</v>
      </c>
      <c r="M17" s="263">
        <f t="shared" ref="M17:M21" si="20">SUM(H17:L17)</f>
        <v>1</v>
      </c>
      <c r="N17" s="261">
        <f t="shared" si="13"/>
        <v>0.51020408163265307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f>SUM(O17:S17)</f>
        <v>0</v>
      </c>
      <c r="U17" s="261">
        <f t="shared" si="14"/>
        <v>0</v>
      </c>
      <c r="V17" s="256">
        <v>0</v>
      </c>
      <c r="W17" s="256">
        <v>0</v>
      </c>
      <c r="X17" s="256">
        <v>0</v>
      </c>
      <c r="Y17" s="256">
        <v>0</v>
      </c>
      <c r="Z17" s="256">
        <v>0</v>
      </c>
      <c r="AA17" s="256">
        <f>SUM(V17:Z17)</f>
        <v>0</v>
      </c>
      <c r="AB17" s="261">
        <f t="shared" si="15"/>
        <v>0</v>
      </c>
      <c r="AC17" s="256">
        <v>0</v>
      </c>
      <c r="AD17" s="256">
        <v>0</v>
      </c>
      <c r="AE17" s="256">
        <v>0</v>
      </c>
      <c r="AF17" s="256">
        <v>0</v>
      </c>
      <c r="AG17" s="256">
        <v>0</v>
      </c>
      <c r="AH17" s="256">
        <f t="shared" si="17"/>
        <v>0</v>
      </c>
      <c r="AI17" s="263">
        <v>0</v>
      </c>
      <c r="AJ17" s="263">
        <v>0</v>
      </c>
      <c r="AK17" s="263">
        <v>0</v>
      </c>
      <c r="AL17" s="263">
        <v>0</v>
      </c>
      <c r="AM17" s="263">
        <v>0</v>
      </c>
      <c r="AN17" s="256">
        <f t="shared" si="18"/>
        <v>0</v>
      </c>
      <c r="AO17" s="263">
        <v>0</v>
      </c>
      <c r="AP17" s="263">
        <v>2</v>
      </c>
      <c r="AQ17" s="263">
        <v>0</v>
      </c>
      <c r="AR17" s="263">
        <v>1</v>
      </c>
      <c r="AS17" s="263">
        <v>0</v>
      </c>
      <c r="AT17" s="256">
        <f t="shared" si="19"/>
        <v>3</v>
      </c>
    </row>
    <row r="18" spans="1:46" ht="16.2" thickBot="1" x14ac:dyDescent="0.4">
      <c r="A18" s="319" t="s">
        <v>7</v>
      </c>
      <c r="B18" s="256">
        <f>15+1+2</f>
        <v>18</v>
      </c>
      <c r="C18" s="256">
        <v>4</v>
      </c>
      <c r="D18" s="256">
        <v>33</v>
      </c>
      <c r="E18" s="256">
        <v>38</v>
      </c>
      <c r="F18" s="256">
        <v>15</v>
      </c>
      <c r="G18" s="259">
        <f t="shared" si="16"/>
        <v>108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  <c r="M18" s="256">
        <f>SUM(H18:L18)</f>
        <v>0</v>
      </c>
      <c r="N18" s="261">
        <f t="shared" si="13"/>
        <v>0</v>
      </c>
      <c r="O18" s="256">
        <v>0</v>
      </c>
      <c r="P18" s="256">
        <v>0</v>
      </c>
      <c r="Q18" s="256">
        <v>0</v>
      </c>
      <c r="R18" s="256">
        <v>0</v>
      </c>
      <c r="S18" s="256">
        <v>0</v>
      </c>
      <c r="T18" s="256">
        <f>SUM(O18:S18)</f>
        <v>0</v>
      </c>
      <c r="U18" s="261">
        <f t="shared" si="14"/>
        <v>0</v>
      </c>
      <c r="V18" s="256">
        <v>0</v>
      </c>
      <c r="W18" s="256">
        <v>0</v>
      </c>
      <c r="X18" s="256">
        <v>0</v>
      </c>
      <c r="Y18" s="256">
        <v>0</v>
      </c>
      <c r="Z18" s="256">
        <v>0</v>
      </c>
      <c r="AA18" s="263">
        <f t="shared" ref="AA18:AA21" si="21">SUM(V18:Z18)</f>
        <v>0</v>
      </c>
      <c r="AB18" s="261">
        <f t="shared" si="15"/>
        <v>0</v>
      </c>
      <c r="AC18" s="256">
        <v>0</v>
      </c>
      <c r="AD18" s="256">
        <v>0</v>
      </c>
      <c r="AE18" s="256">
        <v>0</v>
      </c>
      <c r="AF18" s="256">
        <v>0</v>
      </c>
      <c r="AG18" s="256">
        <v>0</v>
      </c>
      <c r="AH18" s="256">
        <f t="shared" si="17"/>
        <v>0</v>
      </c>
      <c r="AI18" s="263">
        <v>0</v>
      </c>
      <c r="AJ18" s="263">
        <v>0</v>
      </c>
      <c r="AK18" s="263">
        <v>0</v>
      </c>
      <c r="AL18" s="263">
        <v>0</v>
      </c>
      <c r="AM18" s="263">
        <v>0</v>
      </c>
      <c r="AN18" s="256">
        <f t="shared" si="18"/>
        <v>0</v>
      </c>
      <c r="AO18" s="263">
        <v>0</v>
      </c>
      <c r="AP18" s="263">
        <v>0</v>
      </c>
      <c r="AQ18" s="263">
        <v>0</v>
      </c>
      <c r="AR18" s="263">
        <v>0</v>
      </c>
      <c r="AS18" s="263">
        <v>0</v>
      </c>
      <c r="AT18" s="256">
        <f t="shared" si="19"/>
        <v>0</v>
      </c>
    </row>
    <row r="19" spans="1:46" ht="16.2" thickBot="1" x14ac:dyDescent="0.4">
      <c r="A19" s="319" t="s">
        <v>8</v>
      </c>
      <c r="B19" s="256">
        <f>6</f>
        <v>6</v>
      </c>
      <c r="C19" s="256">
        <v>3</v>
      </c>
      <c r="D19" s="256">
        <v>5</v>
      </c>
      <c r="E19" s="256">
        <v>5</v>
      </c>
      <c r="F19" s="256">
        <v>7</v>
      </c>
      <c r="G19" s="259">
        <f t="shared" si="16"/>
        <v>26</v>
      </c>
      <c r="H19" s="256">
        <v>0</v>
      </c>
      <c r="I19" s="256">
        <v>0</v>
      </c>
      <c r="J19" s="256">
        <v>0</v>
      </c>
      <c r="K19" s="256">
        <v>0</v>
      </c>
      <c r="L19" s="256">
        <v>0</v>
      </c>
      <c r="M19" s="256">
        <f>SUM(H19:L19)</f>
        <v>0</v>
      </c>
      <c r="N19" s="261">
        <f t="shared" si="13"/>
        <v>0</v>
      </c>
      <c r="O19" s="256">
        <v>0</v>
      </c>
      <c r="P19" s="256">
        <v>0</v>
      </c>
      <c r="Q19" s="256">
        <v>0</v>
      </c>
      <c r="R19" s="256">
        <v>0</v>
      </c>
      <c r="S19" s="256">
        <v>0</v>
      </c>
      <c r="T19" s="263">
        <f t="shared" ref="T19:T21" si="22">SUM(O19:S19)</f>
        <v>0</v>
      </c>
      <c r="U19" s="261">
        <f t="shared" si="14"/>
        <v>0</v>
      </c>
      <c r="V19" s="256">
        <v>0</v>
      </c>
      <c r="W19" s="256">
        <v>0</v>
      </c>
      <c r="X19" s="256">
        <v>0</v>
      </c>
      <c r="Y19" s="256">
        <v>0</v>
      </c>
      <c r="Z19" s="256">
        <v>0</v>
      </c>
      <c r="AA19" s="256">
        <f>SUM(V19:Z19)</f>
        <v>0</v>
      </c>
      <c r="AB19" s="261">
        <f t="shared" si="15"/>
        <v>0</v>
      </c>
      <c r="AC19" s="256">
        <v>0</v>
      </c>
      <c r="AD19" s="256">
        <v>0</v>
      </c>
      <c r="AE19" s="256">
        <v>0</v>
      </c>
      <c r="AF19" s="256">
        <v>0</v>
      </c>
      <c r="AG19" s="256">
        <v>0</v>
      </c>
      <c r="AH19" s="256">
        <f t="shared" si="17"/>
        <v>0</v>
      </c>
      <c r="AI19" s="263">
        <v>0</v>
      </c>
      <c r="AJ19" s="263">
        <v>0</v>
      </c>
      <c r="AK19" s="263">
        <v>0</v>
      </c>
      <c r="AL19" s="263">
        <v>0</v>
      </c>
      <c r="AM19" s="263">
        <v>0</v>
      </c>
      <c r="AN19" s="256">
        <f t="shared" si="18"/>
        <v>0</v>
      </c>
      <c r="AO19" s="263">
        <v>0</v>
      </c>
      <c r="AP19" s="263">
        <v>0</v>
      </c>
      <c r="AQ19" s="263">
        <v>0</v>
      </c>
      <c r="AR19" s="263">
        <v>0</v>
      </c>
      <c r="AS19" s="263">
        <v>0</v>
      </c>
      <c r="AT19" s="256">
        <f t="shared" si="19"/>
        <v>0</v>
      </c>
    </row>
    <row r="20" spans="1:46" ht="16.2" thickBot="1" x14ac:dyDescent="0.4">
      <c r="A20" s="319" t="s">
        <v>9</v>
      </c>
      <c r="B20" s="256">
        <f>13</f>
        <v>13</v>
      </c>
      <c r="C20" s="256">
        <v>7</v>
      </c>
      <c r="D20" s="256">
        <v>19</v>
      </c>
      <c r="E20" s="256">
        <v>7</v>
      </c>
      <c r="F20" s="256">
        <v>7</v>
      </c>
      <c r="G20" s="259">
        <f t="shared" si="16"/>
        <v>53</v>
      </c>
      <c r="H20" s="256">
        <f>2</f>
        <v>2</v>
      </c>
      <c r="I20" s="256">
        <v>0</v>
      </c>
      <c r="J20" s="256">
        <v>0</v>
      </c>
      <c r="K20" s="256">
        <v>0</v>
      </c>
      <c r="L20" s="256">
        <v>0</v>
      </c>
      <c r="M20" s="263">
        <f t="shared" si="20"/>
        <v>2</v>
      </c>
      <c r="N20" s="261">
        <f t="shared" si="13"/>
        <v>3.7735849056603774</v>
      </c>
      <c r="O20" s="256">
        <f>2</f>
        <v>2</v>
      </c>
      <c r="P20" s="256">
        <v>0</v>
      </c>
      <c r="Q20" s="256">
        <v>0</v>
      </c>
      <c r="R20" s="256">
        <v>0</v>
      </c>
      <c r="S20" s="256">
        <v>0</v>
      </c>
      <c r="T20" s="263">
        <f t="shared" si="22"/>
        <v>2</v>
      </c>
      <c r="U20" s="261">
        <f t="shared" si="14"/>
        <v>3.7735849056603774</v>
      </c>
      <c r="V20" s="256">
        <f>3</f>
        <v>3</v>
      </c>
      <c r="W20" s="256">
        <v>0</v>
      </c>
      <c r="X20" s="256">
        <v>0</v>
      </c>
      <c r="Y20" s="256">
        <v>0</v>
      </c>
      <c r="Z20" s="256">
        <v>0</v>
      </c>
      <c r="AA20" s="263">
        <f t="shared" si="21"/>
        <v>3</v>
      </c>
      <c r="AB20" s="261">
        <f t="shared" si="15"/>
        <v>5.6603773584905657</v>
      </c>
      <c r="AC20" s="256">
        <v>0</v>
      </c>
      <c r="AD20" s="256">
        <v>0</v>
      </c>
      <c r="AE20" s="256">
        <v>0</v>
      </c>
      <c r="AF20" s="256">
        <v>0</v>
      </c>
      <c r="AG20" s="256">
        <v>0</v>
      </c>
      <c r="AH20" s="256">
        <f t="shared" si="17"/>
        <v>0</v>
      </c>
      <c r="AI20" s="263">
        <v>0</v>
      </c>
      <c r="AJ20" s="263">
        <v>0</v>
      </c>
      <c r="AK20" s="263">
        <v>0</v>
      </c>
      <c r="AL20" s="263">
        <v>0</v>
      </c>
      <c r="AM20" s="263">
        <v>0</v>
      </c>
      <c r="AN20" s="256">
        <f t="shared" si="18"/>
        <v>0</v>
      </c>
      <c r="AO20" s="263">
        <v>0</v>
      </c>
      <c r="AP20" s="263">
        <v>1</v>
      </c>
      <c r="AQ20" s="263">
        <v>0</v>
      </c>
      <c r="AR20" s="263">
        <v>0</v>
      </c>
      <c r="AS20" s="263">
        <v>0</v>
      </c>
      <c r="AT20" s="256">
        <f t="shared" si="19"/>
        <v>1</v>
      </c>
    </row>
    <row r="21" spans="1:46" ht="16.2" thickBot="1" x14ac:dyDescent="0.4">
      <c r="A21" s="319" t="s">
        <v>10</v>
      </c>
      <c r="B21" s="256">
        <f>3</f>
        <v>3</v>
      </c>
      <c r="C21" s="256">
        <v>2</v>
      </c>
      <c r="D21" s="256">
        <v>7</v>
      </c>
      <c r="E21" s="256">
        <v>17</v>
      </c>
      <c r="F21" s="256">
        <v>4</v>
      </c>
      <c r="G21" s="259">
        <f t="shared" si="16"/>
        <v>33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63">
        <f t="shared" si="20"/>
        <v>0</v>
      </c>
      <c r="N21" s="261">
        <f t="shared" si="13"/>
        <v>0</v>
      </c>
      <c r="O21" s="256">
        <v>0</v>
      </c>
      <c r="P21" s="256">
        <v>0</v>
      </c>
      <c r="Q21" s="256">
        <v>0</v>
      </c>
      <c r="R21" s="256">
        <v>0</v>
      </c>
      <c r="S21" s="256">
        <v>0</v>
      </c>
      <c r="T21" s="263">
        <f t="shared" si="22"/>
        <v>0</v>
      </c>
      <c r="U21" s="261">
        <f t="shared" si="14"/>
        <v>0</v>
      </c>
      <c r="V21" s="256">
        <v>0</v>
      </c>
      <c r="W21" s="256">
        <v>0</v>
      </c>
      <c r="X21" s="256">
        <v>0</v>
      </c>
      <c r="Y21" s="256">
        <v>0</v>
      </c>
      <c r="Z21" s="256">
        <v>0</v>
      </c>
      <c r="AA21" s="263">
        <f t="shared" si="21"/>
        <v>0</v>
      </c>
      <c r="AB21" s="261">
        <f t="shared" si="15"/>
        <v>0</v>
      </c>
      <c r="AC21" s="256">
        <v>0</v>
      </c>
      <c r="AD21" s="256">
        <v>0</v>
      </c>
      <c r="AE21" s="256">
        <v>0</v>
      </c>
      <c r="AF21" s="256">
        <v>0</v>
      </c>
      <c r="AG21" s="256">
        <v>0</v>
      </c>
      <c r="AH21" s="256">
        <f t="shared" si="17"/>
        <v>0</v>
      </c>
      <c r="AI21" s="263">
        <v>0</v>
      </c>
      <c r="AJ21" s="263">
        <v>0</v>
      </c>
      <c r="AK21" s="263">
        <v>0</v>
      </c>
      <c r="AL21" s="263">
        <v>0</v>
      </c>
      <c r="AM21" s="263">
        <v>0</v>
      </c>
      <c r="AN21" s="256">
        <f t="shared" si="18"/>
        <v>0</v>
      </c>
      <c r="AO21" s="263">
        <v>0</v>
      </c>
      <c r="AP21" s="263">
        <v>0</v>
      </c>
      <c r="AQ21" s="263">
        <v>0</v>
      </c>
      <c r="AR21" s="263">
        <v>0</v>
      </c>
      <c r="AS21" s="263">
        <v>0</v>
      </c>
      <c r="AT21" s="256">
        <f t="shared" si="19"/>
        <v>0</v>
      </c>
    </row>
    <row r="22" spans="1:46" ht="16.2" thickBot="1" x14ac:dyDescent="0.4">
      <c r="A22" s="319" t="s">
        <v>11</v>
      </c>
      <c r="B22" s="256">
        <f>91+7</f>
        <v>98</v>
      </c>
      <c r="C22" s="256">
        <v>19</v>
      </c>
      <c r="D22" s="256">
        <v>125</v>
      </c>
      <c r="E22" s="256">
        <v>175</v>
      </c>
      <c r="F22" s="256">
        <v>62</v>
      </c>
      <c r="G22" s="259">
        <f t="shared" si="16"/>
        <v>479</v>
      </c>
      <c r="H22" s="256">
        <f>1</f>
        <v>1</v>
      </c>
      <c r="I22" s="256">
        <v>0</v>
      </c>
      <c r="J22" s="256">
        <v>0</v>
      </c>
      <c r="K22" s="256">
        <v>1</v>
      </c>
      <c r="L22" s="256">
        <v>0</v>
      </c>
      <c r="M22" s="256">
        <f>SUM(H22:L22)</f>
        <v>2</v>
      </c>
      <c r="N22" s="261">
        <f t="shared" si="13"/>
        <v>0.41753653444676408</v>
      </c>
      <c r="O22" s="256">
        <f>1</f>
        <v>1</v>
      </c>
      <c r="P22" s="256">
        <v>0</v>
      </c>
      <c r="Q22" s="256">
        <v>0</v>
      </c>
      <c r="R22" s="256">
        <v>0</v>
      </c>
      <c r="S22" s="256">
        <v>1</v>
      </c>
      <c r="T22" s="256">
        <f>SUM(O22:S22)</f>
        <v>2</v>
      </c>
      <c r="U22" s="261">
        <f t="shared" si="14"/>
        <v>0.41753653444676408</v>
      </c>
      <c r="V22" s="256">
        <v>0</v>
      </c>
      <c r="W22" s="256">
        <v>1</v>
      </c>
      <c r="X22" s="256">
        <v>0</v>
      </c>
      <c r="Y22" s="256">
        <v>0</v>
      </c>
      <c r="Z22" s="256">
        <v>1</v>
      </c>
      <c r="AA22" s="256">
        <f>SUM(V22:Z22)</f>
        <v>2</v>
      </c>
      <c r="AB22" s="261">
        <f t="shared" si="15"/>
        <v>0.41753653444676408</v>
      </c>
      <c r="AC22" s="256">
        <v>0</v>
      </c>
      <c r="AD22" s="256">
        <v>0</v>
      </c>
      <c r="AE22" s="256">
        <v>0</v>
      </c>
      <c r="AF22" s="256">
        <v>0</v>
      </c>
      <c r="AG22" s="256">
        <v>0</v>
      </c>
      <c r="AH22" s="256">
        <f t="shared" si="17"/>
        <v>0</v>
      </c>
      <c r="AI22" s="263">
        <v>0</v>
      </c>
      <c r="AJ22" s="263">
        <v>0</v>
      </c>
      <c r="AK22" s="263">
        <v>0</v>
      </c>
      <c r="AL22" s="263">
        <v>0</v>
      </c>
      <c r="AM22" s="263">
        <v>0</v>
      </c>
      <c r="AN22" s="256">
        <f t="shared" si="18"/>
        <v>0</v>
      </c>
      <c r="AO22" s="263">
        <f>4</f>
        <v>4</v>
      </c>
      <c r="AP22" s="263">
        <v>1</v>
      </c>
      <c r="AQ22" s="263">
        <v>7</v>
      </c>
      <c r="AR22" s="263">
        <v>1</v>
      </c>
      <c r="AS22" s="263">
        <v>4</v>
      </c>
      <c r="AT22" s="256">
        <f t="shared" si="19"/>
        <v>17</v>
      </c>
    </row>
    <row r="23" spans="1:46" ht="16.2" thickBot="1" x14ac:dyDescent="0.4">
      <c r="A23" s="319" t="s">
        <v>12</v>
      </c>
      <c r="B23" s="256">
        <f>678+53+26</f>
        <v>757</v>
      </c>
      <c r="C23" s="256">
        <v>423</v>
      </c>
      <c r="D23" s="256">
        <v>1475</v>
      </c>
      <c r="E23" s="256">
        <v>1206</v>
      </c>
      <c r="F23" s="256">
        <v>573</v>
      </c>
      <c r="G23" s="259">
        <f t="shared" si="16"/>
        <v>4434</v>
      </c>
      <c r="H23" s="256">
        <f>5</f>
        <v>5</v>
      </c>
      <c r="I23" s="256">
        <v>5</v>
      </c>
      <c r="J23" s="256">
        <v>5</v>
      </c>
      <c r="K23" s="256">
        <v>3</v>
      </c>
      <c r="L23" s="256">
        <v>3</v>
      </c>
      <c r="M23" s="256">
        <f>SUM(H23:L23)</f>
        <v>21</v>
      </c>
      <c r="N23" s="261">
        <f t="shared" si="13"/>
        <v>0.4736129905277402</v>
      </c>
      <c r="O23" s="256">
        <f>2</f>
        <v>2</v>
      </c>
      <c r="P23" s="256">
        <v>4</v>
      </c>
      <c r="Q23" s="256">
        <v>8</v>
      </c>
      <c r="R23" s="256">
        <v>4</v>
      </c>
      <c r="S23" s="256">
        <v>2</v>
      </c>
      <c r="T23" s="256">
        <f>SUM(O23:S23)</f>
        <v>20</v>
      </c>
      <c r="U23" s="261">
        <f t="shared" si="14"/>
        <v>0.45105999097880017</v>
      </c>
      <c r="V23" s="256">
        <f>1</f>
        <v>1</v>
      </c>
      <c r="W23" s="256">
        <v>0</v>
      </c>
      <c r="X23" s="256">
        <v>4</v>
      </c>
      <c r="Y23" s="256">
        <v>1</v>
      </c>
      <c r="Z23" s="256">
        <v>0</v>
      </c>
      <c r="AA23" s="256">
        <f>SUM(V23:Z23)</f>
        <v>6</v>
      </c>
      <c r="AB23" s="261">
        <f t="shared" si="15"/>
        <v>0.13531799729364005</v>
      </c>
      <c r="AC23" s="256">
        <f>2</f>
        <v>2</v>
      </c>
      <c r="AD23" s="256">
        <v>0</v>
      </c>
      <c r="AE23" s="256">
        <v>0</v>
      </c>
      <c r="AF23" s="256">
        <v>1</v>
      </c>
      <c r="AG23" s="256">
        <v>2</v>
      </c>
      <c r="AH23" s="256">
        <f t="shared" si="17"/>
        <v>5</v>
      </c>
      <c r="AI23" s="263">
        <f>1</f>
        <v>1</v>
      </c>
      <c r="AJ23" s="263">
        <v>0</v>
      </c>
      <c r="AK23" s="263">
        <v>1</v>
      </c>
      <c r="AL23" s="263">
        <v>1</v>
      </c>
      <c r="AM23" s="263">
        <v>1</v>
      </c>
      <c r="AN23" s="256">
        <f t="shared" si="18"/>
        <v>4</v>
      </c>
      <c r="AO23" s="263">
        <f>5</f>
        <v>5</v>
      </c>
      <c r="AP23" s="263">
        <v>16</v>
      </c>
      <c r="AQ23" s="263">
        <v>27</v>
      </c>
      <c r="AR23" s="263">
        <v>9</v>
      </c>
      <c r="AS23" s="263">
        <v>3</v>
      </c>
      <c r="AT23" s="256">
        <f t="shared" si="19"/>
        <v>60</v>
      </c>
    </row>
    <row r="24" spans="1:46" ht="16.2" thickBot="1" x14ac:dyDescent="0.4">
      <c r="A24" s="319" t="s">
        <v>13</v>
      </c>
      <c r="B24" s="256">
        <f>5</f>
        <v>5</v>
      </c>
      <c r="C24" s="256">
        <v>5</v>
      </c>
      <c r="D24" s="256">
        <v>7</v>
      </c>
      <c r="E24" s="256">
        <v>1</v>
      </c>
      <c r="F24" s="256">
        <v>4</v>
      </c>
      <c r="G24" s="259">
        <f t="shared" si="16"/>
        <v>22</v>
      </c>
      <c r="H24" s="256">
        <v>0</v>
      </c>
      <c r="I24" s="256">
        <v>0</v>
      </c>
      <c r="J24" s="256">
        <v>0</v>
      </c>
      <c r="K24" s="256">
        <v>0</v>
      </c>
      <c r="L24" s="256">
        <v>1</v>
      </c>
      <c r="M24" s="256">
        <f>SUM(H24:L24)</f>
        <v>1</v>
      </c>
      <c r="N24" s="261">
        <f t="shared" si="13"/>
        <v>4.5454545454545459</v>
      </c>
      <c r="O24" s="256">
        <v>0</v>
      </c>
      <c r="P24" s="256">
        <v>0</v>
      </c>
      <c r="Q24" s="256">
        <v>1</v>
      </c>
      <c r="R24" s="256">
        <v>0</v>
      </c>
      <c r="S24" s="256">
        <v>0</v>
      </c>
      <c r="T24" s="256">
        <f>SUM(O24:S24)</f>
        <v>1</v>
      </c>
      <c r="U24" s="261">
        <f t="shared" si="14"/>
        <v>4.5454545454545459</v>
      </c>
      <c r="V24" s="256">
        <v>0</v>
      </c>
      <c r="W24" s="256">
        <v>0</v>
      </c>
      <c r="X24" s="256">
        <v>2</v>
      </c>
      <c r="Y24" s="256">
        <v>0</v>
      </c>
      <c r="Z24" s="256">
        <v>0</v>
      </c>
      <c r="AA24" s="256">
        <f>SUM(V24:Z24)</f>
        <v>2</v>
      </c>
      <c r="AB24" s="261">
        <f t="shared" si="15"/>
        <v>9.0909090909090917</v>
      </c>
      <c r="AC24" s="256">
        <v>0</v>
      </c>
      <c r="AD24" s="256">
        <v>0</v>
      </c>
      <c r="AE24" s="256">
        <v>0</v>
      </c>
      <c r="AF24" s="256">
        <v>0</v>
      </c>
      <c r="AG24" s="256">
        <v>0</v>
      </c>
      <c r="AH24" s="256">
        <f t="shared" si="17"/>
        <v>0</v>
      </c>
      <c r="AI24" s="263">
        <v>0</v>
      </c>
      <c r="AJ24" s="263">
        <v>0</v>
      </c>
      <c r="AK24" s="263">
        <v>0</v>
      </c>
      <c r="AL24" s="263">
        <v>0</v>
      </c>
      <c r="AM24" s="263">
        <v>0</v>
      </c>
      <c r="AN24" s="256">
        <f t="shared" si="18"/>
        <v>0</v>
      </c>
      <c r="AO24" s="263">
        <v>0</v>
      </c>
      <c r="AP24" s="263">
        <v>0</v>
      </c>
      <c r="AQ24" s="263">
        <v>2</v>
      </c>
      <c r="AR24" s="263">
        <v>1</v>
      </c>
      <c r="AS24" s="263">
        <v>0</v>
      </c>
      <c r="AT24" s="256">
        <f t="shared" si="19"/>
        <v>3</v>
      </c>
    </row>
    <row r="25" spans="1:46" ht="27" thickBot="1" x14ac:dyDescent="0.4">
      <c r="A25" s="321" t="s">
        <v>23</v>
      </c>
      <c r="B25" s="293">
        <f>416+11+10</f>
        <v>437</v>
      </c>
      <c r="C25" s="293">
        <v>213</v>
      </c>
      <c r="D25" s="256">
        <v>662</v>
      </c>
      <c r="E25" s="293">
        <v>660</v>
      </c>
      <c r="F25" s="256">
        <v>238</v>
      </c>
      <c r="G25" s="259">
        <f t="shared" si="16"/>
        <v>2210</v>
      </c>
      <c r="H25" s="293">
        <f>1+2+1</f>
        <v>4</v>
      </c>
      <c r="I25" s="256">
        <v>0</v>
      </c>
      <c r="J25" s="256">
        <v>2</v>
      </c>
      <c r="K25" s="256">
        <v>7</v>
      </c>
      <c r="L25" s="256">
        <v>0</v>
      </c>
      <c r="M25" s="256">
        <f>SUM(H25:L25)</f>
        <v>13</v>
      </c>
      <c r="N25" s="261">
        <f t="shared" si="13"/>
        <v>0.58823529411764708</v>
      </c>
      <c r="O25" s="293">
        <f>1</f>
        <v>1</v>
      </c>
      <c r="P25" s="256">
        <v>0</v>
      </c>
      <c r="Q25" s="293">
        <v>4</v>
      </c>
      <c r="R25" s="293">
        <v>2</v>
      </c>
      <c r="S25" s="256">
        <v>1</v>
      </c>
      <c r="T25" s="256">
        <f>SUM(O25:S25)</f>
        <v>8</v>
      </c>
      <c r="U25" s="261">
        <f t="shared" si="14"/>
        <v>0.36199095022624433</v>
      </c>
      <c r="V25" s="293">
        <v>0</v>
      </c>
      <c r="W25" s="293">
        <v>0</v>
      </c>
      <c r="X25" s="293">
        <v>1</v>
      </c>
      <c r="Y25" s="293">
        <v>0</v>
      </c>
      <c r="Z25" s="293">
        <v>0</v>
      </c>
      <c r="AA25" s="256">
        <f>SUM(V25:Z25)</f>
        <v>1</v>
      </c>
      <c r="AB25" s="261">
        <f t="shared" si="15"/>
        <v>4.5248868778280542E-2</v>
      </c>
      <c r="AC25" s="293">
        <v>0</v>
      </c>
      <c r="AD25" s="293">
        <v>0</v>
      </c>
      <c r="AE25" s="293">
        <v>0</v>
      </c>
      <c r="AF25" s="293">
        <v>0</v>
      </c>
      <c r="AG25" s="293">
        <v>0</v>
      </c>
      <c r="AH25" s="256">
        <f t="shared" si="17"/>
        <v>0</v>
      </c>
      <c r="AI25" s="263">
        <f>1</f>
        <v>1</v>
      </c>
      <c r="AJ25" s="263">
        <v>0</v>
      </c>
      <c r="AK25" s="263">
        <v>2</v>
      </c>
      <c r="AL25" s="263">
        <v>0</v>
      </c>
      <c r="AM25" s="263">
        <v>0</v>
      </c>
      <c r="AN25" s="256">
        <f t="shared" si="18"/>
        <v>3</v>
      </c>
      <c r="AO25" s="263">
        <f>3+5</f>
        <v>8</v>
      </c>
      <c r="AP25" s="263">
        <v>1</v>
      </c>
      <c r="AQ25" s="263">
        <v>7</v>
      </c>
      <c r="AR25" s="263">
        <v>4</v>
      </c>
      <c r="AS25" s="263">
        <v>1</v>
      </c>
      <c r="AT25" s="256">
        <f t="shared" si="19"/>
        <v>21</v>
      </c>
    </row>
    <row r="26" spans="1:46" s="240" customFormat="1" ht="16.2" thickBot="1" x14ac:dyDescent="0.4">
      <c r="A26" s="324" t="s">
        <v>22</v>
      </c>
      <c r="B26" s="274">
        <f t="shared" ref="B26:M26" si="23">SUM(B15:B25)</f>
        <v>1618</v>
      </c>
      <c r="C26" s="274">
        <f t="shared" si="23"/>
        <v>777</v>
      </c>
      <c r="D26" s="274">
        <f t="shared" si="23"/>
        <v>2741</v>
      </c>
      <c r="E26" s="274">
        <f t="shared" si="23"/>
        <v>2654</v>
      </c>
      <c r="F26" s="274">
        <f t="shared" si="23"/>
        <v>1037</v>
      </c>
      <c r="G26" s="272">
        <f t="shared" si="23"/>
        <v>8827</v>
      </c>
      <c r="H26" s="274">
        <f t="shared" si="23"/>
        <v>15</v>
      </c>
      <c r="I26" s="274">
        <f t="shared" si="23"/>
        <v>6</v>
      </c>
      <c r="J26" s="274">
        <f t="shared" si="23"/>
        <v>8</v>
      </c>
      <c r="K26" s="274">
        <f t="shared" si="23"/>
        <v>13</v>
      </c>
      <c r="L26" s="274">
        <f t="shared" si="23"/>
        <v>4</v>
      </c>
      <c r="M26" s="276">
        <f t="shared" si="23"/>
        <v>46</v>
      </c>
      <c r="N26" s="278">
        <f t="shared" si="13"/>
        <v>0.52112835617990261</v>
      </c>
      <c r="O26" s="274">
        <f t="shared" ref="O26:T26" si="24">SUM(O15:O25)</f>
        <v>7</v>
      </c>
      <c r="P26" s="274">
        <f t="shared" si="24"/>
        <v>6</v>
      </c>
      <c r="Q26" s="274">
        <f t="shared" si="24"/>
        <v>14</v>
      </c>
      <c r="R26" s="274">
        <f t="shared" si="24"/>
        <v>9</v>
      </c>
      <c r="S26" s="274">
        <f t="shared" si="24"/>
        <v>4</v>
      </c>
      <c r="T26" s="276">
        <f t="shared" si="24"/>
        <v>40</v>
      </c>
      <c r="U26" s="278">
        <f t="shared" si="14"/>
        <v>0.45315509233035006</v>
      </c>
      <c r="V26" s="274">
        <f t="shared" ref="V26:AS26" si="25">SUM(V15:V25)</f>
        <v>6</v>
      </c>
      <c r="W26" s="274">
        <f t="shared" si="25"/>
        <v>1</v>
      </c>
      <c r="X26" s="274">
        <f t="shared" si="25"/>
        <v>11</v>
      </c>
      <c r="Y26" s="274">
        <f t="shared" si="25"/>
        <v>1</v>
      </c>
      <c r="Z26" s="274">
        <f t="shared" si="25"/>
        <v>1</v>
      </c>
      <c r="AA26" s="276">
        <f t="shared" si="25"/>
        <v>20</v>
      </c>
      <c r="AB26" s="278">
        <f t="shared" si="15"/>
        <v>0.22657754616517503</v>
      </c>
      <c r="AC26" s="274">
        <f t="shared" si="25"/>
        <v>3</v>
      </c>
      <c r="AD26" s="274">
        <f t="shared" si="25"/>
        <v>0</v>
      </c>
      <c r="AE26" s="274">
        <f t="shared" si="25"/>
        <v>0</v>
      </c>
      <c r="AF26" s="274">
        <f t="shared" si="25"/>
        <v>1</v>
      </c>
      <c r="AG26" s="274">
        <f t="shared" si="25"/>
        <v>2</v>
      </c>
      <c r="AH26" s="281">
        <f>SUM(AH15:AH25)</f>
        <v>6</v>
      </c>
      <c r="AI26" s="274">
        <f t="shared" si="25"/>
        <v>3</v>
      </c>
      <c r="AJ26" s="274">
        <f t="shared" si="25"/>
        <v>1</v>
      </c>
      <c r="AK26" s="274">
        <f t="shared" si="25"/>
        <v>4</v>
      </c>
      <c r="AL26" s="274">
        <f t="shared" si="25"/>
        <v>1</v>
      </c>
      <c r="AM26" s="274">
        <f t="shared" si="25"/>
        <v>1</v>
      </c>
      <c r="AN26" s="281">
        <f>SUM(AN15:AN25)</f>
        <v>10</v>
      </c>
      <c r="AO26" s="274">
        <f t="shared" si="25"/>
        <v>18</v>
      </c>
      <c r="AP26" s="274">
        <f t="shared" si="25"/>
        <v>25</v>
      </c>
      <c r="AQ26" s="274">
        <f t="shared" si="25"/>
        <v>53</v>
      </c>
      <c r="AR26" s="274">
        <f t="shared" si="25"/>
        <v>17</v>
      </c>
      <c r="AS26" s="274">
        <f t="shared" si="25"/>
        <v>8</v>
      </c>
      <c r="AT26" s="281">
        <f>SUM(AT15:AT25)</f>
        <v>121</v>
      </c>
    </row>
    <row r="27" spans="1:46" ht="15.6" x14ac:dyDescent="0.35">
      <c r="A27" s="325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6"/>
      <c r="AI27" s="286"/>
      <c r="AJ27" s="286"/>
      <c r="AK27" s="286"/>
      <c r="AL27" s="286"/>
      <c r="AM27" s="286"/>
      <c r="AN27" s="204"/>
      <c r="AO27" s="286"/>
      <c r="AP27" s="286"/>
      <c r="AQ27" s="286"/>
      <c r="AR27" s="286"/>
      <c r="AS27" s="286"/>
      <c r="AT27" s="286"/>
    </row>
    <row r="28" spans="1:46" ht="16.2" thickBot="1" x14ac:dyDescent="0.4">
      <c r="A28" s="247" t="s">
        <v>50</v>
      </c>
      <c r="B28" s="291"/>
      <c r="C28" s="291"/>
      <c r="D28" s="291"/>
      <c r="E28" s="291"/>
      <c r="F28" s="291"/>
      <c r="G28" s="284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86"/>
      <c r="AI28" s="286"/>
      <c r="AJ28" s="286"/>
      <c r="AK28" s="286"/>
      <c r="AL28" s="286"/>
      <c r="AM28" s="286"/>
      <c r="AN28" s="204"/>
      <c r="AO28" s="286"/>
      <c r="AP28" s="286"/>
      <c r="AQ28" s="286"/>
      <c r="AR28" s="286"/>
      <c r="AS28" s="286"/>
      <c r="AT28" s="286"/>
    </row>
    <row r="29" spans="1:46" ht="16.2" thickBot="1" x14ac:dyDescent="0.4">
      <c r="A29" s="319" t="s">
        <v>15</v>
      </c>
      <c r="B29" s="256">
        <f>190+1979+132</f>
        <v>2301</v>
      </c>
      <c r="C29" s="256">
        <v>1930</v>
      </c>
      <c r="D29" s="256">
        <v>3401</v>
      </c>
      <c r="E29" s="256">
        <v>3000</v>
      </c>
      <c r="F29" s="256">
        <v>2693</v>
      </c>
      <c r="G29" s="259">
        <f>SUM(B29:F29)</f>
        <v>13325</v>
      </c>
      <c r="H29" s="256">
        <f>4</f>
        <v>4</v>
      </c>
      <c r="I29" s="256">
        <v>1</v>
      </c>
      <c r="J29" s="256">
        <v>2</v>
      </c>
      <c r="K29" s="256">
        <v>2</v>
      </c>
      <c r="L29" s="256">
        <v>2</v>
      </c>
      <c r="M29" s="256">
        <f t="shared" ref="M29:M37" si="26">SUM(H29:L29)</f>
        <v>11</v>
      </c>
      <c r="N29" s="261">
        <f t="shared" ref="N29:N38" si="27">M29*100/G29</f>
        <v>8.2551594746716694E-2</v>
      </c>
      <c r="O29" s="256">
        <f>1</f>
        <v>1</v>
      </c>
      <c r="P29" s="256">
        <v>2</v>
      </c>
      <c r="Q29" s="256">
        <v>3</v>
      </c>
      <c r="R29" s="256">
        <v>1</v>
      </c>
      <c r="S29" s="256">
        <v>1</v>
      </c>
      <c r="T29" s="256">
        <f>SUM(O29:S29)</f>
        <v>8</v>
      </c>
      <c r="U29" s="261">
        <f t="shared" ref="U29:U38" si="28">T29*100/G29</f>
        <v>6.0037523452157598E-2</v>
      </c>
      <c r="V29" s="256">
        <f>2</f>
        <v>2</v>
      </c>
      <c r="W29" s="256">
        <v>0</v>
      </c>
      <c r="X29" s="256">
        <v>3</v>
      </c>
      <c r="Y29" s="256">
        <v>0</v>
      </c>
      <c r="Z29" s="256">
        <v>1</v>
      </c>
      <c r="AA29" s="256">
        <f t="shared" ref="AA29:AA37" si="29">SUM(V29:Z29)</f>
        <v>6</v>
      </c>
      <c r="AB29" s="261">
        <f t="shared" ref="AB29:AB38" si="30">AA29*100/G29</f>
        <v>4.5028142589118199E-2</v>
      </c>
      <c r="AC29" s="256">
        <f>2</f>
        <v>2</v>
      </c>
      <c r="AD29" s="256">
        <v>0</v>
      </c>
      <c r="AE29" s="256">
        <v>0</v>
      </c>
      <c r="AF29" s="256">
        <v>0</v>
      </c>
      <c r="AG29" s="256">
        <v>0</v>
      </c>
      <c r="AH29" s="256">
        <f>SUM(AC29:AG29)</f>
        <v>2</v>
      </c>
      <c r="AI29" s="263">
        <v>0</v>
      </c>
      <c r="AJ29" s="263">
        <v>0</v>
      </c>
      <c r="AK29" s="263">
        <v>1</v>
      </c>
      <c r="AL29" s="263">
        <v>1</v>
      </c>
      <c r="AM29" s="263">
        <v>1</v>
      </c>
      <c r="AN29" s="256">
        <f>SUM(AI29:AM29)</f>
        <v>3</v>
      </c>
      <c r="AO29" s="263">
        <f>6</f>
        <v>6</v>
      </c>
      <c r="AP29" s="263">
        <v>0</v>
      </c>
      <c r="AQ29" s="263">
        <v>9</v>
      </c>
      <c r="AR29" s="263">
        <v>6</v>
      </c>
      <c r="AS29" s="263">
        <v>5</v>
      </c>
      <c r="AT29" s="256">
        <f>SUM(AO29:AS29)</f>
        <v>26</v>
      </c>
    </row>
    <row r="30" spans="1:46" ht="16.2" thickBot="1" x14ac:dyDescent="0.4">
      <c r="A30" s="319" t="s">
        <v>16</v>
      </c>
      <c r="B30" s="256">
        <f>57+894+27+1</f>
        <v>979</v>
      </c>
      <c r="C30" s="256">
        <v>797</v>
      </c>
      <c r="D30" s="256">
        <v>1642</v>
      </c>
      <c r="E30" s="256">
        <v>1407</v>
      </c>
      <c r="F30" s="256">
        <v>777</v>
      </c>
      <c r="G30" s="259">
        <f t="shared" ref="G30:G37" si="31">SUM(B30:F30)</f>
        <v>5602</v>
      </c>
      <c r="H30" s="256">
        <f>4</f>
        <v>4</v>
      </c>
      <c r="I30" s="256">
        <v>0</v>
      </c>
      <c r="J30" s="256">
        <v>7</v>
      </c>
      <c r="K30" s="256">
        <v>4</v>
      </c>
      <c r="L30" s="256">
        <v>3</v>
      </c>
      <c r="M30" s="256">
        <f t="shared" si="26"/>
        <v>18</v>
      </c>
      <c r="N30" s="261">
        <f t="shared" si="27"/>
        <v>0.32131381649410923</v>
      </c>
      <c r="O30" s="256">
        <f>2</f>
        <v>2</v>
      </c>
      <c r="P30" s="256">
        <v>0</v>
      </c>
      <c r="Q30" s="256">
        <v>10</v>
      </c>
      <c r="R30" s="256">
        <v>3</v>
      </c>
      <c r="S30" s="256">
        <v>2</v>
      </c>
      <c r="T30" s="256">
        <f t="shared" ref="T30:T37" si="32">SUM(O30:S30)</f>
        <v>17</v>
      </c>
      <c r="U30" s="261">
        <f t="shared" si="28"/>
        <v>0.30346304891110315</v>
      </c>
      <c r="V30" s="256">
        <f>1</f>
        <v>1</v>
      </c>
      <c r="W30" s="256">
        <v>2</v>
      </c>
      <c r="X30" s="256">
        <v>5</v>
      </c>
      <c r="Y30" s="256">
        <v>1</v>
      </c>
      <c r="Z30" s="256">
        <v>0</v>
      </c>
      <c r="AA30" s="256">
        <f t="shared" si="29"/>
        <v>9</v>
      </c>
      <c r="AB30" s="261">
        <f t="shared" si="30"/>
        <v>0.16065690824705461</v>
      </c>
      <c r="AC30" s="256">
        <f>1</f>
        <v>1</v>
      </c>
      <c r="AD30" s="256">
        <v>4</v>
      </c>
      <c r="AE30" s="256">
        <v>0</v>
      </c>
      <c r="AF30" s="256">
        <v>4</v>
      </c>
      <c r="AG30" s="256">
        <v>0</v>
      </c>
      <c r="AH30" s="256">
        <f t="shared" ref="AH30:AH37" si="33">SUM(AC30:AG30)</f>
        <v>9</v>
      </c>
      <c r="AI30" s="263">
        <v>0</v>
      </c>
      <c r="AJ30" s="263">
        <v>0</v>
      </c>
      <c r="AK30" s="263">
        <v>0</v>
      </c>
      <c r="AL30" s="263">
        <v>1</v>
      </c>
      <c r="AM30" s="263">
        <v>2</v>
      </c>
      <c r="AN30" s="256">
        <f t="shared" ref="AN30:AN37" si="34">SUM(AI30:AM30)</f>
        <v>3</v>
      </c>
      <c r="AO30" s="263">
        <f>6</f>
        <v>6</v>
      </c>
      <c r="AP30" s="263">
        <v>2</v>
      </c>
      <c r="AQ30" s="263">
        <v>22</v>
      </c>
      <c r="AR30" s="263">
        <v>7</v>
      </c>
      <c r="AS30" s="263">
        <v>4</v>
      </c>
      <c r="AT30" s="256">
        <f t="shared" ref="AT30:AT37" si="35">SUM(AO30:AS30)</f>
        <v>41</v>
      </c>
    </row>
    <row r="31" spans="1:46" ht="16.2" thickBot="1" x14ac:dyDescent="0.4">
      <c r="A31" s="319" t="s">
        <v>34</v>
      </c>
      <c r="B31" s="256">
        <f>24+695+87</f>
        <v>806</v>
      </c>
      <c r="C31" s="256">
        <v>673</v>
      </c>
      <c r="D31" s="256">
        <v>877</v>
      </c>
      <c r="E31" s="256">
        <v>840</v>
      </c>
      <c r="F31" s="256">
        <v>1004</v>
      </c>
      <c r="G31" s="259">
        <f t="shared" si="31"/>
        <v>4200</v>
      </c>
      <c r="H31" s="256">
        <f>1+1</f>
        <v>2</v>
      </c>
      <c r="I31" s="256">
        <v>0</v>
      </c>
      <c r="J31" s="256">
        <v>3</v>
      </c>
      <c r="K31" s="256">
        <v>0</v>
      </c>
      <c r="L31" s="256">
        <v>3</v>
      </c>
      <c r="M31" s="256">
        <f t="shared" si="26"/>
        <v>8</v>
      </c>
      <c r="N31" s="261">
        <f t="shared" si="27"/>
        <v>0.19047619047619047</v>
      </c>
      <c r="O31" s="256">
        <v>0</v>
      </c>
      <c r="P31" s="256">
        <v>1</v>
      </c>
      <c r="Q31" s="256">
        <v>8</v>
      </c>
      <c r="R31" s="256">
        <v>1</v>
      </c>
      <c r="S31" s="256">
        <v>3</v>
      </c>
      <c r="T31" s="256">
        <f t="shared" si="32"/>
        <v>13</v>
      </c>
      <c r="U31" s="261">
        <f t="shared" si="28"/>
        <v>0.30952380952380953</v>
      </c>
      <c r="V31" s="256">
        <v>0</v>
      </c>
      <c r="W31" s="256">
        <v>1</v>
      </c>
      <c r="X31" s="256">
        <v>1</v>
      </c>
      <c r="Y31" s="256">
        <v>0</v>
      </c>
      <c r="Z31" s="256">
        <v>0</v>
      </c>
      <c r="AA31" s="256">
        <f t="shared" si="29"/>
        <v>2</v>
      </c>
      <c r="AB31" s="261">
        <f t="shared" si="30"/>
        <v>4.7619047619047616E-2</v>
      </c>
      <c r="AC31" s="256">
        <v>0</v>
      </c>
      <c r="AD31" s="256">
        <v>0</v>
      </c>
      <c r="AE31" s="256">
        <v>1</v>
      </c>
      <c r="AF31" s="256">
        <v>0</v>
      </c>
      <c r="AG31" s="256">
        <v>2</v>
      </c>
      <c r="AH31" s="256">
        <f t="shared" si="33"/>
        <v>3</v>
      </c>
      <c r="AI31" s="263">
        <v>0</v>
      </c>
      <c r="AJ31" s="263">
        <v>0</v>
      </c>
      <c r="AK31" s="263">
        <v>2</v>
      </c>
      <c r="AL31" s="263">
        <v>0</v>
      </c>
      <c r="AM31" s="263">
        <v>1</v>
      </c>
      <c r="AN31" s="256">
        <f t="shared" si="34"/>
        <v>3</v>
      </c>
      <c r="AO31" s="263">
        <v>0</v>
      </c>
      <c r="AP31" s="263">
        <v>0</v>
      </c>
      <c r="AQ31" s="263">
        <v>11</v>
      </c>
      <c r="AR31" s="263">
        <v>2</v>
      </c>
      <c r="AS31" s="263">
        <v>4</v>
      </c>
      <c r="AT31" s="256">
        <f t="shared" si="35"/>
        <v>17</v>
      </c>
    </row>
    <row r="32" spans="1:46" ht="16.2" thickBot="1" x14ac:dyDescent="0.4">
      <c r="A32" s="319" t="s">
        <v>17</v>
      </c>
      <c r="B32" s="256">
        <f>457+5433+318</f>
        <v>6208</v>
      </c>
      <c r="C32" s="256">
        <v>3911</v>
      </c>
      <c r="D32" s="256">
        <v>8468</v>
      </c>
      <c r="E32" s="256">
        <v>7487</v>
      </c>
      <c r="F32" s="256">
        <v>6197</v>
      </c>
      <c r="G32" s="259">
        <f t="shared" si="31"/>
        <v>32271</v>
      </c>
      <c r="H32" s="256">
        <f>1</f>
        <v>1</v>
      </c>
      <c r="I32" s="256">
        <v>4</v>
      </c>
      <c r="J32" s="256">
        <v>6</v>
      </c>
      <c r="K32" s="256">
        <v>11</v>
      </c>
      <c r="L32" s="256">
        <v>0</v>
      </c>
      <c r="M32" s="256">
        <f t="shared" si="26"/>
        <v>22</v>
      </c>
      <c r="N32" s="261">
        <f t="shared" si="27"/>
        <v>6.8172662762232342E-2</v>
      </c>
      <c r="O32" s="256">
        <f>1+2</f>
        <v>3</v>
      </c>
      <c r="P32" s="256">
        <v>0</v>
      </c>
      <c r="Q32" s="256">
        <v>6</v>
      </c>
      <c r="R32" s="256">
        <v>3</v>
      </c>
      <c r="S32" s="256">
        <v>1</v>
      </c>
      <c r="T32" s="256">
        <f t="shared" si="32"/>
        <v>13</v>
      </c>
      <c r="U32" s="261">
        <f t="shared" si="28"/>
        <v>4.0283846177682749E-2</v>
      </c>
      <c r="V32" s="256">
        <f>2</f>
        <v>2</v>
      </c>
      <c r="W32" s="256">
        <v>0</v>
      </c>
      <c r="X32" s="256">
        <v>2</v>
      </c>
      <c r="Y32" s="256">
        <v>1</v>
      </c>
      <c r="Z32" s="256">
        <v>0</v>
      </c>
      <c r="AA32" s="256">
        <f t="shared" si="29"/>
        <v>5</v>
      </c>
      <c r="AB32" s="261">
        <f t="shared" si="30"/>
        <v>1.5493786991416443E-2</v>
      </c>
      <c r="AC32" s="256">
        <v>0</v>
      </c>
      <c r="AD32" s="256">
        <v>1</v>
      </c>
      <c r="AE32" s="256">
        <v>0</v>
      </c>
      <c r="AF32" s="256">
        <v>1</v>
      </c>
      <c r="AG32" s="256">
        <v>0</v>
      </c>
      <c r="AH32" s="256">
        <f t="shared" si="33"/>
        <v>2</v>
      </c>
      <c r="AI32" s="263">
        <f>1</f>
        <v>1</v>
      </c>
      <c r="AJ32" s="263">
        <v>0</v>
      </c>
      <c r="AK32" s="263">
        <v>5</v>
      </c>
      <c r="AL32" s="263">
        <v>0</v>
      </c>
      <c r="AM32" s="263">
        <v>0</v>
      </c>
      <c r="AN32" s="256">
        <f t="shared" si="34"/>
        <v>6</v>
      </c>
      <c r="AO32" s="263">
        <f>2+1</f>
        <v>3</v>
      </c>
      <c r="AP32" s="263">
        <v>6</v>
      </c>
      <c r="AQ32" s="263">
        <v>27</v>
      </c>
      <c r="AR32" s="263">
        <v>12</v>
      </c>
      <c r="AS32" s="263">
        <v>6</v>
      </c>
      <c r="AT32" s="256">
        <f t="shared" si="35"/>
        <v>54</v>
      </c>
    </row>
    <row r="33" spans="1:46" ht="16.2" thickBot="1" x14ac:dyDescent="0.4">
      <c r="A33" s="319" t="s">
        <v>18</v>
      </c>
      <c r="B33" s="256">
        <f>48+1225+88</f>
        <v>1361</v>
      </c>
      <c r="C33" s="256">
        <v>1178</v>
      </c>
      <c r="D33" s="256">
        <v>1251</v>
      </c>
      <c r="E33" s="256">
        <v>1336</v>
      </c>
      <c r="F33" s="256">
        <v>2569</v>
      </c>
      <c r="G33" s="259">
        <f t="shared" si="31"/>
        <v>7695</v>
      </c>
      <c r="H33" s="256">
        <v>0</v>
      </c>
      <c r="I33" s="256">
        <v>0</v>
      </c>
      <c r="J33" s="256">
        <v>1</v>
      </c>
      <c r="K33" s="256">
        <v>0</v>
      </c>
      <c r="L33" s="256">
        <v>5</v>
      </c>
      <c r="M33" s="256">
        <f t="shared" si="26"/>
        <v>6</v>
      </c>
      <c r="N33" s="261">
        <f t="shared" si="27"/>
        <v>7.7972709551656916E-2</v>
      </c>
      <c r="O33" s="256">
        <f>3</f>
        <v>3</v>
      </c>
      <c r="P33" s="256">
        <v>0</v>
      </c>
      <c r="Q33" s="256">
        <v>2</v>
      </c>
      <c r="R33" s="256">
        <v>0</v>
      </c>
      <c r="S33" s="256">
        <v>3</v>
      </c>
      <c r="T33" s="256">
        <f t="shared" si="32"/>
        <v>8</v>
      </c>
      <c r="U33" s="261">
        <f t="shared" si="28"/>
        <v>0.10396361273554255</v>
      </c>
      <c r="V33" s="256">
        <f>1</f>
        <v>1</v>
      </c>
      <c r="W33" s="256">
        <v>0</v>
      </c>
      <c r="X33" s="256">
        <v>0</v>
      </c>
      <c r="Y33" s="256">
        <v>1</v>
      </c>
      <c r="Z33" s="256">
        <v>0</v>
      </c>
      <c r="AA33" s="256">
        <f t="shared" si="29"/>
        <v>2</v>
      </c>
      <c r="AB33" s="261">
        <f t="shared" si="30"/>
        <v>2.5990903183885639E-2</v>
      </c>
      <c r="AC33" s="256">
        <f>1</f>
        <v>1</v>
      </c>
      <c r="AD33" s="256">
        <v>0</v>
      </c>
      <c r="AE33" s="256">
        <v>0</v>
      </c>
      <c r="AF33" s="256">
        <v>0</v>
      </c>
      <c r="AG33" s="256">
        <v>1</v>
      </c>
      <c r="AH33" s="256">
        <f t="shared" si="33"/>
        <v>2</v>
      </c>
      <c r="AI33" s="263">
        <v>0</v>
      </c>
      <c r="AJ33" s="263">
        <v>0</v>
      </c>
      <c r="AK33" s="263">
        <v>2</v>
      </c>
      <c r="AL33" s="263">
        <v>0</v>
      </c>
      <c r="AM33" s="263">
        <v>0</v>
      </c>
      <c r="AN33" s="256">
        <f t="shared" si="34"/>
        <v>2</v>
      </c>
      <c r="AO33" s="263">
        <f>5</f>
        <v>5</v>
      </c>
      <c r="AP33" s="263">
        <v>0</v>
      </c>
      <c r="AQ33" s="263">
        <v>3</v>
      </c>
      <c r="AR33" s="263">
        <v>5</v>
      </c>
      <c r="AS33" s="263">
        <v>6</v>
      </c>
      <c r="AT33" s="256">
        <f t="shared" si="35"/>
        <v>19</v>
      </c>
    </row>
    <row r="34" spans="1:46" ht="16.2" thickBot="1" x14ac:dyDescent="0.4">
      <c r="A34" s="319" t="s">
        <v>19</v>
      </c>
      <c r="B34" s="256">
        <f>511+7123+284</f>
        <v>7918</v>
      </c>
      <c r="C34" s="256">
        <v>6079</v>
      </c>
      <c r="D34" s="256">
        <v>11309</v>
      </c>
      <c r="E34" s="256">
        <v>9193</v>
      </c>
      <c r="F34" s="256">
        <v>6052</v>
      </c>
      <c r="G34" s="259">
        <f t="shared" si="31"/>
        <v>40551</v>
      </c>
      <c r="H34" s="256">
        <f>24+1</f>
        <v>25</v>
      </c>
      <c r="I34" s="256">
        <v>21</v>
      </c>
      <c r="J34" s="256">
        <v>56</v>
      </c>
      <c r="K34" s="256">
        <v>36</v>
      </c>
      <c r="L34" s="256">
        <v>19</v>
      </c>
      <c r="M34" s="256">
        <f t="shared" si="26"/>
        <v>157</v>
      </c>
      <c r="N34" s="261">
        <f t="shared" si="27"/>
        <v>0.38716677763803603</v>
      </c>
      <c r="O34" s="256">
        <f>1+25+1</f>
        <v>27</v>
      </c>
      <c r="P34" s="256">
        <v>14</v>
      </c>
      <c r="Q34" s="256">
        <v>42</v>
      </c>
      <c r="R34" s="256">
        <v>25</v>
      </c>
      <c r="S34" s="256">
        <v>19</v>
      </c>
      <c r="T34" s="256">
        <f t="shared" si="32"/>
        <v>127</v>
      </c>
      <c r="U34" s="261">
        <f t="shared" si="28"/>
        <v>0.31318586471357057</v>
      </c>
      <c r="V34" s="256">
        <f>3+3+2</f>
        <v>8</v>
      </c>
      <c r="W34" s="256">
        <v>4</v>
      </c>
      <c r="X34" s="256">
        <v>6</v>
      </c>
      <c r="Y34" s="256">
        <v>8</v>
      </c>
      <c r="Z34" s="256">
        <v>2</v>
      </c>
      <c r="AA34" s="256">
        <f t="shared" si="29"/>
        <v>28</v>
      </c>
      <c r="AB34" s="261">
        <f t="shared" si="30"/>
        <v>6.9048852062834454E-2</v>
      </c>
      <c r="AC34" s="256">
        <f>14</f>
        <v>14</v>
      </c>
      <c r="AD34" s="256">
        <v>6</v>
      </c>
      <c r="AE34" s="256">
        <v>4</v>
      </c>
      <c r="AF34" s="256">
        <v>9</v>
      </c>
      <c r="AG34" s="256">
        <v>7</v>
      </c>
      <c r="AH34" s="256">
        <f t="shared" si="33"/>
        <v>40</v>
      </c>
      <c r="AI34" s="263">
        <f>1</f>
        <v>1</v>
      </c>
      <c r="AJ34" s="263">
        <v>1</v>
      </c>
      <c r="AK34" s="263">
        <v>12</v>
      </c>
      <c r="AL34" s="263">
        <v>2</v>
      </c>
      <c r="AM34" s="263">
        <v>2</v>
      </c>
      <c r="AN34" s="256">
        <f t="shared" si="34"/>
        <v>18</v>
      </c>
      <c r="AO34" s="263">
        <f>48</f>
        <v>48</v>
      </c>
      <c r="AP34" s="263">
        <v>59</v>
      </c>
      <c r="AQ34" s="263">
        <v>121</v>
      </c>
      <c r="AR34" s="263">
        <v>70</v>
      </c>
      <c r="AS34" s="263">
        <v>25</v>
      </c>
      <c r="AT34" s="256">
        <f t="shared" si="35"/>
        <v>323</v>
      </c>
    </row>
    <row r="35" spans="1:46" ht="16.2" thickBot="1" x14ac:dyDescent="0.4">
      <c r="A35" s="319" t="s">
        <v>20</v>
      </c>
      <c r="B35" s="256">
        <f>393+6110+355</f>
        <v>6858</v>
      </c>
      <c r="C35" s="256">
        <v>4648</v>
      </c>
      <c r="D35" s="256">
        <v>8374</v>
      </c>
      <c r="E35" s="256">
        <v>8046</v>
      </c>
      <c r="F35" s="256">
        <v>3955</v>
      </c>
      <c r="G35" s="259">
        <f t="shared" si="31"/>
        <v>31881</v>
      </c>
      <c r="H35" s="256">
        <f>1+13</f>
        <v>14</v>
      </c>
      <c r="I35" s="256">
        <v>10</v>
      </c>
      <c r="J35" s="256">
        <v>22</v>
      </c>
      <c r="K35" s="256">
        <v>10</v>
      </c>
      <c r="L35" s="256">
        <v>2</v>
      </c>
      <c r="M35" s="256">
        <f t="shared" si="26"/>
        <v>58</v>
      </c>
      <c r="N35" s="261">
        <f t="shared" si="27"/>
        <v>0.18192653931808914</v>
      </c>
      <c r="O35" s="256">
        <f>2+14</f>
        <v>16</v>
      </c>
      <c r="P35" s="256">
        <v>7</v>
      </c>
      <c r="Q35" s="256">
        <v>14</v>
      </c>
      <c r="R35" s="256">
        <v>6</v>
      </c>
      <c r="S35" s="256">
        <v>2</v>
      </c>
      <c r="T35" s="256">
        <f t="shared" si="32"/>
        <v>45</v>
      </c>
      <c r="U35" s="261">
        <f t="shared" si="28"/>
        <v>0.14114990119506918</v>
      </c>
      <c r="V35" s="256">
        <f>18</f>
        <v>18</v>
      </c>
      <c r="W35" s="256">
        <v>4</v>
      </c>
      <c r="X35" s="256">
        <v>23</v>
      </c>
      <c r="Y35" s="256">
        <v>6</v>
      </c>
      <c r="Z35" s="256">
        <v>0</v>
      </c>
      <c r="AA35" s="256">
        <f t="shared" si="29"/>
        <v>51</v>
      </c>
      <c r="AB35" s="261">
        <f t="shared" si="30"/>
        <v>0.15996988802107839</v>
      </c>
      <c r="AC35" s="256">
        <f>1+7</f>
        <v>8</v>
      </c>
      <c r="AD35" s="256">
        <v>13</v>
      </c>
      <c r="AE35" s="256">
        <v>0</v>
      </c>
      <c r="AF35" s="256">
        <v>7</v>
      </c>
      <c r="AG35" s="256">
        <v>2</v>
      </c>
      <c r="AH35" s="256">
        <f t="shared" si="33"/>
        <v>30</v>
      </c>
      <c r="AI35" s="263">
        <f>1</f>
        <v>1</v>
      </c>
      <c r="AJ35" s="263">
        <v>0</v>
      </c>
      <c r="AK35" s="263">
        <v>5</v>
      </c>
      <c r="AL35" s="263">
        <v>0</v>
      </c>
      <c r="AM35" s="263">
        <v>1</v>
      </c>
      <c r="AN35" s="256">
        <f t="shared" si="34"/>
        <v>7</v>
      </c>
      <c r="AO35" s="263">
        <f>25</f>
        <v>25</v>
      </c>
      <c r="AP35" s="263">
        <v>26</v>
      </c>
      <c r="AQ35" s="263">
        <v>73</v>
      </c>
      <c r="AR35" s="263">
        <v>16</v>
      </c>
      <c r="AS35" s="263">
        <v>10</v>
      </c>
      <c r="AT35" s="256">
        <f t="shared" si="35"/>
        <v>150</v>
      </c>
    </row>
    <row r="36" spans="1:46" ht="16.2" thickBot="1" x14ac:dyDescent="0.4">
      <c r="A36" s="319" t="s">
        <v>25</v>
      </c>
      <c r="B36" s="256">
        <f>2+179+2</f>
        <v>183</v>
      </c>
      <c r="C36" s="256">
        <v>107</v>
      </c>
      <c r="D36" s="256">
        <v>267</v>
      </c>
      <c r="E36" s="256">
        <v>117</v>
      </c>
      <c r="F36" s="256">
        <v>85</v>
      </c>
      <c r="G36" s="259">
        <f t="shared" si="31"/>
        <v>759</v>
      </c>
      <c r="H36" s="256">
        <f>3</f>
        <v>3</v>
      </c>
      <c r="I36" s="256">
        <v>0</v>
      </c>
      <c r="J36" s="256">
        <v>2</v>
      </c>
      <c r="K36" s="256">
        <v>4</v>
      </c>
      <c r="L36" s="256">
        <v>1</v>
      </c>
      <c r="M36" s="256">
        <f t="shared" si="26"/>
        <v>10</v>
      </c>
      <c r="N36" s="261">
        <f t="shared" si="27"/>
        <v>1.3175230566534915</v>
      </c>
      <c r="O36" s="256">
        <f>1</f>
        <v>1</v>
      </c>
      <c r="P36" s="256">
        <v>0</v>
      </c>
      <c r="Q36" s="256">
        <v>1</v>
      </c>
      <c r="R36" s="256">
        <v>1</v>
      </c>
      <c r="S36" s="256">
        <v>1</v>
      </c>
      <c r="T36" s="256">
        <f t="shared" si="32"/>
        <v>4</v>
      </c>
      <c r="U36" s="261">
        <f t="shared" si="28"/>
        <v>0.5270092226613966</v>
      </c>
      <c r="V36" s="256">
        <v>0</v>
      </c>
      <c r="W36" s="256">
        <v>0</v>
      </c>
      <c r="X36" s="256">
        <v>0</v>
      </c>
      <c r="Y36" s="256">
        <v>0</v>
      </c>
      <c r="Z36" s="256">
        <v>0</v>
      </c>
      <c r="AA36" s="256">
        <f t="shared" si="29"/>
        <v>0</v>
      </c>
      <c r="AB36" s="261">
        <f t="shared" si="30"/>
        <v>0</v>
      </c>
      <c r="AC36" s="256">
        <v>0</v>
      </c>
      <c r="AD36" s="256">
        <v>1</v>
      </c>
      <c r="AE36" s="256">
        <v>0</v>
      </c>
      <c r="AF36" s="256">
        <v>0</v>
      </c>
      <c r="AG36" s="256">
        <v>1</v>
      </c>
      <c r="AH36" s="256">
        <f t="shared" si="33"/>
        <v>2</v>
      </c>
      <c r="AI36" s="263">
        <v>0</v>
      </c>
      <c r="AJ36" s="263">
        <v>0</v>
      </c>
      <c r="AK36" s="263">
        <v>2</v>
      </c>
      <c r="AL36" s="263">
        <v>0</v>
      </c>
      <c r="AM36" s="263">
        <v>3</v>
      </c>
      <c r="AN36" s="256">
        <f t="shared" si="34"/>
        <v>5</v>
      </c>
      <c r="AO36" s="263">
        <f>30</f>
        <v>30</v>
      </c>
      <c r="AP36" s="263">
        <v>0</v>
      </c>
      <c r="AQ36" s="263">
        <v>3</v>
      </c>
      <c r="AR36" s="263">
        <v>1</v>
      </c>
      <c r="AS36" s="263">
        <v>9</v>
      </c>
      <c r="AT36" s="256">
        <f t="shared" si="35"/>
        <v>43</v>
      </c>
    </row>
    <row r="37" spans="1:46" ht="31.8" thickBot="1" x14ac:dyDescent="0.4">
      <c r="A37" s="326" t="s">
        <v>146</v>
      </c>
      <c r="B37" s="256">
        <f>6141+75745+4711</f>
        <v>86597</v>
      </c>
      <c r="C37" s="256">
        <v>60881</v>
      </c>
      <c r="D37" s="256">
        <v>132779</v>
      </c>
      <c r="E37" s="256">
        <v>122031</v>
      </c>
      <c r="F37" s="256">
        <f>66984+327</f>
        <v>67311</v>
      </c>
      <c r="G37" s="259">
        <f t="shared" si="31"/>
        <v>469599</v>
      </c>
      <c r="H37" s="256">
        <f>6+107+1</f>
        <v>114</v>
      </c>
      <c r="I37" s="256">
        <v>72</v>
      </c>
      <c r="J37" s="256">
        <v>244</v>
      </c>
      <c r="K37" s="256">
        <v>135</v>
      </c>
      <c r="L37" s="256">
        <f>65+1</f>
        <v>66</v>
      </c>
      <c r="M37" s="256">
        <f t="shared" si="26"/>
        <v>631</v>
      </c>
      <c r="N37" s="261">
        <f t="shared" si="27"/>
        <v>0.13436996245733063</v>
      </c>
      <c r="O37" s="256">
        <f>15+161+1</f>
        <v>177</v>
      </c>
      <c r="P37" s="256">
        <v>71</v>
      </c>
      <c r="Q37" s="256">
        <v>287</v>
      </c>
      <c r="R37" s="256">
        <v>129</v>
      </c>
      <c r="S37" s="256">
        <f>73+1</f>
        <v>74</v>
      </c>
      <c r="T37" s="256">
        <f t="shared" si="32"/>
        <v>738</v>
      </c>
      <c r="U37" s="261">
        <f t="shared" si="28"/>
        <v>0.15715536021158477</v>
      </c>
      <c r="V37" s="256">
        <f>9+143+1</f>
        <v>153</v>
      </c>
      <c r="W37" s="256">
        <v>29</v>
      </c>
      <c r="X37" s="256">
        <v>90</v>
      </c>
      <c r="Y37" s="256">
        <v>62</v>
      </c>
      <c r="Z37" s="256">
        <v>19</v>
      </c>
      <c r="AA37" s="256">
        <f t="shared" si="29"/>
        <v>353</v>
      </c>
      <c r="AB37" s="261">
        <f t="shared" si="30"/>
        <v>7.5170517824782415E-2</v>
      </c>
      <c r="AC37" s="256">
        <f>1+56</f>
        <v>57</v>
      </c>
      <c r="AD37" s="256">
        <v>37</v>
      </c>
      <c r="AE37" s="256">
        <v>20</v>
      </c>
      <c r="AF37" s="256">
        <v>43</v>
      </c>
      <c r="AG37" s="256">
        <f>19+1</f>
        <v>20</v>
      </c>
      <c r="AH37" s="256">
        <f t="shared" si="33"/>
        <v>177</v>
      </c>
      <c r="AI37" s="263">
        <f>25</f>
        <v>25</v>
      </c>
      <c r="AJ37" s="263">
        <v>4</v>
      </c>
      <c r="AK37" s="263">
        <v>46</v>
      </c>
      <c r="AL37" s="263">
        <v>7</v>
      </c>
      <c r="AM37" s="263">
        <v>7</v>
      </c>
      <c r="AN37" s="256">
        <f t="shared" si="34"/>
        <v>89</v>
      </c>
      <c r="AO37" s="263">
        <f>9+340+16</f>
        <v>365</v>
      </c>
      <c r="AP37" s="263">
        <v>225</v>
      </c>
      <c r="AQ37" s="263">
        <v>794</v>
      </c>
      <c r="AR37" s="263">
        <v>370</v>
      </c>
      <c r="AS37" s="263">
        <f>260+3</f>
        <v>263</v>
      </c>
      <c r="AT37" s="256">
        <f t="shared" si="35"/>
        <v>2017</v>
      </c>
    </row>
    <row r="38" spans="1:46" s="240" customFormat="1" ht="16.2" thickBot="1" x14ac:dyDescent="0.4">
      <c r="A38" s="324" t="s">
        <v>21</v>
      </c>
      <c r="B38" s="274">
        <f t="shared" ref="B38:M38" si="36">SUM(B29:B37)</f>
        <v>113211</v>
      </c>
      <c r="C38" s="274">
        <v>80204</v>
      </c>
      <c r="D38" s="274">
        <f t="shared" si="36"/>
        <v>168368</v>
      </c>
      <c r="E38" s="274">
        <f>SUM(E29:E37)</f>
        <v>153457</v>
      </c>
      <c r="F38" s="274">
        <f t="shared" si="36"/>
        <v>90643</v>
      </c>
      <c r="G38" s="272">
        <f t="shared" si="36"/>
        <v>605883</v>
      </c>
      <c r="H38" s="274">
        <f t="shared" si="36"/>
        <v>167</v>
      </c>
      <c r="I38" s="274">
        <f t="shared" si="36"/>
        <v>108</v>
      </c>
      <c r="J38" s="274">
        <f t="shared" si="36"/>
        <v>343</v>
      </c>
      <c r="K38" s="274">
        <f>SUM(K29:K37)</f>
        <v>202</v>
      </c>
      <c r="L38" s="274">
        <f t="shared" si="36"/>
        <v>101</v>
      </c>
      <c r="M38" s="276">
        <f t="shared" si="36"/>
        <v>921</v>
      </c>
      <c r="N38" s="278">
        <f t="shared" si="27"/>
        <v>0.1520095463975718</v>
      </c>
      <c r="O38" s="274">
        <f t="shared" ref="O38:T38" si="37">SUM(O29:O37)</f>
        <v>230</v>
      </c>
      <c r="P38" s="274">
        <f t="shared" si="37"/>
        <v>95</v>
      </c>
      <c r="Q38" s="274">
        <f t="shared" si="37"/>
        <v>373</v>
      </c>
      <c r="R38" s="274">
        <f>SUM(R29:R37)</f>
        <v>169</v>
      </c>
      <c r="S38" s="274">
        <f t="shared" si="37"/>
        <v>106</v>
      </c>
      <c r="T38" s="276">
        <f t="shared" si="37"/>
        <v>973</v>
      </c>
      <c r="U38" s="278">
        <f t="shared" si="28"/>
        <v>0.16059206150362362</v>
      </c>
      <c r="V38" s="274">
        <f>SUM(V29:V37)</f>
        <v>185</v>
      </c>
      <c r="W38" s="274">
        <f t="shared" ref="W38:AA38" si="38">SUM(W29:W37)</f>
        <v>40</v>
      </c>
      <c r="X38" s="274">
        <f t="shared" si="38"/>
        <v>130</v>
      </c>
      <c r="Y38" s="274">
        <f>SUM(Y29:Y37)</f>
        <v>79</v>
      </c>
      <c r="Z38" s="274">
        <f t="shared" si="38"/>
        <v>22</v>
      </c>
      <c r="AA38" s="276">
        <f t="shared" si="38"/>
        <v>456</v>
      </c>
      <c r="AB38" s="278">
        <f t="shared" si="30"/>
        <v>7.5262055545377571E-2</v>
      </c>
      <c r="AC38" s="274">
        <f>SUM(AC29:AC37)</f>
        <v>83</v>
      </c>
      <c r="AD38" s="274">
        <f t="shared" ref="AD38:AG38" si="39">SUM(AD29:AD37)</f>
        <v>62</v>
      </c>
      <c r="AE38" s="274">
        <f t="shared" si="39"/>
        <v>25</v>
      </c>
      <c r="AF38" s="274">
        <f>SUM(AF29:AF37)</f>
        <v>64</v>
      </c>
      <c r="AG38" s="274">
        <f t="shared" si="39"/>
        <v>33</v>
      </c>
      <c r="AH38" s="281">
        <f>SUM(AH29:AH37)</f>
        <v>267</v>
      </c>
      <c r="AI38" s="274">
        <f>SUM(AI29:AI37)</f>
        <v>28</v>
      </c>
      <c r="AJ38" s="274">
        <f t="shared" ref="AJ38:AM38" si="40">SUM(AJ29:AJ37)</f>
        <v>5</v>
      </c>
      <c r="AK38" s="274">
        <f t="shared" si="40"/>
        <v>75</v>
      </c>
      <c r="AL38" s="274">
        <f>SUM(AL29:AL37)</f>
        <v>11</v>
      </c>
      <c r="AM38" s="274">
        <f t="shared" si="40"/>
        <v>17</v>
      </c>
      <c r="AN38" s="281">
        <f>SUM(AN29:AN37)</f>
        <v>136</v>
      </c>
      <c r="AO38" s="274">
        <f>SUM(AO29:AO37)</f>
        <v>488</v>
      </c>
      <c r="AP38" s="274">
        <f t="shared" ref="AP38:AS38" si="41">SUM(AP29:AP37)</f>
        <v>318</v>
      </c>
      <c r="AQ38" s="274">
        <f t="shared" si="41"/>
        <v>1063</v>
      </c>
      <c r="AR38" s="274">
        <f>SUM(AR29:AR37)</f>
        <v>489</v>
      </c>
      <c r="AS38" s="274">
        <f t="shared" si="41"/>
        <v>332</v>
      </c>
      <c r="AT38" s="298">
        <f>SUM(AT29:AT37)</f>
        <v>2690</v>
      </c>
    </row>
    <row r="39" spans="1:46" ht="15.6" x14ac:dyDescent="0.35">
      <c r="A39" s="249"/>
      <c r="B39" s="327"/>
      <c r="C39" s="327"/>
      <c r="D39" s="327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</row>
    <row r="40" spans="1:46" ht="16.2" thickBot="1" x14ac:dyDescent="0.4">
      <c r="A40" s="247" t="s">
        <v>28</v>
      </c>
      <c r="B40" s="291"/>
      <c r="C40" s="291"/>
      <c r="D40" s="291"/>
      <c r="E40" s="291"/>
      <c r="F40" s="291"/>
      <c r="G40" s="284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</row>
    <row r="41" spans="1:46" ht="16.2" thickBot="1" x14ac:dyDescent="0.4">
      <c r="A41" s="319" t="s">
        <v>40</v>
      </c>
      <c r="B41" s="256">
        <v>462</v>
      </c>
      <c r="C41" s="256">
        <v>161</v>
      </c>
      <c r="D41" s="292">
        <v>477</v>
      </c>
      <c r="E41" s="256">
        <v>319</v>
      </c>
      <c r="F41" s="256">
        <v>220</v>
      </c>
      <c r="G41" s="259">
        <f>SUM(B41:F41)</f>
        <v>1639</v>
      </c>
      <c r="H41" s="256">
        <f>1</f>
        <v>1</v>
      </c>
      <c r="I41" s="256">
        <v>0</v>
      </c>
      <c r="J41" s="256">
        <v>4</v>
      </c>
      <c r="K41" s="256">
        <v>5</v>
      </c>
      <c r="L41" s="299">
        <v>0</v>
      </c>
      <c r="M41" s="256">
        <f>SUM(H41:L41)</f>
        <v>10</v>
      </c>
      <c r="N41" s="261">
        <f>M41*100/G41</f>
        <v>0.61012812690665041</v>
      </c>
      <c r="O41" s="256">
        <f>2</f>
        <v>2</v>
      </c>
      <c r="P41" s="256">
        <v>1</v>
      </c>
      <c r="Q41" s="256">
        <v>4</v>
      </c>
      <c r="R41" s="256">
        <v>1</v>
      </c>
      <c r="S41" s="256">
        <v>1</v>
      </c>
      <c r="T41" s="256">
        <f>SUM(O41:S41)</f>
        <v>9</v>
      </c>
      <c r="U41" s="261">
        <f>T41*100/G41</f>
        <v>0.54911531421598536</v>
      </c>
      <c r="V41" s="300">
        <v>0</v>
      </c>
      <c r="W41" s="300">
        <v>0</v>
      </c>
      <c r="X41" s="300">
        <v>2</v>
      </c>
      <c r="Y41" s="300">
        <v>0</v>
      </c>
      <c r="Z41" s="300">
        <v>0</v>
      </c>
      <c r="AA41" s="263">
        <f>SUM(V41:Z41)</f>
        <v>2</v>
      </c>
      <c r="AB41" s="261">
        <f>AA41*100/G41</f>
        <v>0.12202562538133008</v>
      </c>
      <c r="AC41" s="300">
        <f>2</f>
        <v>2</v>
      </c>
      <c r="AD41" s="300">
        <v>0</v>
      </c>
      <c r="AE41" s="300">
        <v>0</v>
      </c>
      <c r="AF41" s="300">
        <v>2</v>
      </c>
      <c r="AG41" s="300">
        <v>0</v>
      </c>
      <c r="AH41" s="256">
        <f>SUM(AC41:AG41)</f>
        <v>4</v>
      </c>
      <c r="AI41" s="263">
        <v>0</v>
      </c>
      <c r="AJ41" s="263">
        <v>0</v>
      </c>
      <c r="AK41" s="263">
        <v>1</v>
      </c>
      <c r="AL41" s="263">
        <v>0</v>
      </c>
      <c r="AM41" s="263">
        <v>0</v>
      </c>
      <c r="AN41" s="256">
        <f>SUM(AI41:AM41)</f>
        <v>1</v>
      </c>
      <c r="AO41" s="263">
        <f>1</f>
        <v>1</v>
      </c>
      <c r="AP41" s="263">
        <v>0</v>
      </c>
      <c r="AQ41" s="263">
        <v>1</v>
      </c>
      <c r="AR41" s="263">
        <v>0</v>
      </c>
      <c r="AS41" s="263">
        <v>3</v>
      </c>
      <c r="AT41" s="256">
        <f>SUM(AO41:AS41)</f>
        <v>5</v>
      </c>
    </row>
    <row r="42" spans="1:46" ht="16.2" thickBot="1" x14ac:dyDescent="0.4">
      <c r="A42" s="319" t="s">
        <v>27</v>
      </c>
      <c r="B42" s="256">
        <f>88394+8651+4503</f>
        <v>101548</v>
      </c>
      <c r="C42" s="256">
        <v>50954</v>
      </c>
      <c r="D42" s="292">
        <v>55397</v>
      </c>
      <c r="E42" s="256">
        <v>79897</v>
      </c>
      <c r="F42" s="256">
        <v>71863</v>
      </c>
      <c r="G42" s="259">
        <f>SUM(B42:F42)</f>
        <v>359659</v>
      </c>
      <c r="H42" s="256">
        <f>1+35</f>
        <v>36</v>
      </c>
      <c r="I42" s="256">
        <v>11</v>
      </c>
      <c r="J42" s="256">
        <v>70</v>
      </c>
      <c r="K42" s="256">
        <v>48</v>
      </c>
      <c r="L42" s="256">
        <v>30</v>
      </c>
      <c r="M42" s="256">
        <f>SUM(H42:L42)</f>
        <v>195</v>
      </c>
      <c r="N42" s="261">
        <f>M42*100/G42</f>
        <v>5.4218023183070632E-2</v>
      </c>
      <c r="O42" s="256">
        <f>2+20</f>
        <v>22</v>
      </c>
      <c r="P42" s="256">
        <v>14</v>
      </c>
      <c r="Q42" s="256">
        <v>39</v>
      </c>
      <c r="R42" s="256">
        <v>18</v>
      </c>
      <c r="S42" s="256">
        <v>14</v>
      </c>
      <c r="T42" s="256">
        <f>SUM(O42:S42)</f>
        <v>107</v>
      </c>
      <c r="U42" s="261">
        <f>T42*100/G42</f>
        <v>2.9750402464556704E-2</v>
      </c>
      <c r="V42" s="292">
        <f>2+16</f>
        <v>18</v>
      </c>
      <c r="W42" s="292">
        <v>5</v>
      </c>
      <c r="X42" s="263">
        <v>17</v>
      </c>
      <c r="Y42" s="263">
        <v>12</v>
      </c>
      <c r="Z42" s="263">
        <v>2</v>
      </c>
      <c r="AA42" s="256">
        <f>SUM(V42:Z42)</f>
        <v>54</v>
      </c>
      <c r="AB42" s="261">
        <f>AA42*100/G42</f>
        <v>1.5014221804542637E-2</v>
      </c>
      <c r="AC42" s="292">
        <f>4</f>
        <v>4</v>
      </c>
      <c r="AD42" s="292">
        <v>2</v>
      </c>
      <c r="AE42" s="300">
        <v>2</v>
      </c>
      <c r="AF42" s="300">
        <v>3</v>
      </c>
      <c r="AG42" s="300">
        <v>2</v>
      </c>
      <c r="AH42" s="256">
        <f>SUM(AC42:AG42)</f>
        <v>13</v>
      </c>
      <c r="AI42" s="263">
        <f>1</f>
        <v>1</v>
      </c>
      <c r="AJ42" s="263">
        <v>2</v>
      </c>
      <c r="AK42" s="263">
        <v>17</v>
      </c>
      <c r="AL42" s="263">
        <v>0</v>
      </c>
      <c r="AM42" s="263">
        <v>0</v>
      </c>
      <c r="AN42" s="256">
        <f>SUM(AI42:AM42)</f>
        <v>20</v>
      </c>
      <c r="AO42" s="263">
        <f>1+51+3</f>
        <v>55</v>
      </c>
      <c r="AP42" s="263">
        <v>48</v>
      </c>
      <c r="AQ42" s="263">
        <v>71</v>
      </c>
      <c r="AR42" s="263">
        <v>52</v>
      </c>
      <c r="AS42" s="263">
        <v>27</v>
      </c>
      <c r="AT42" s="256">
        <f>SUM(AO42:AS42)</f>
        <v>253</v>
      </c>
    </row>
    <row r="43" spans="1:46" s="240" customFormat="1" ht="16.2" thickBot="1" x14ac:dyDescent="0.4">
      <c r="A43" s="324" t="s">
        <v>21</v>
      </c>
      <c r="B43" s="274">
        <f>SUM(B41:B42)</f>
        <v>102010</v>
      </c>
      <c r="C43" s="274">
        <f>SUM(C41:C42)</f>
        <v>51115</v>
      </c>
      <c r="D43" s="274">
        <f>SUM(D41:D42)</f>
        <v>55874</v>
      </c>
      <c r="E43" s="274">
        <f>SUM(E41:E42)</f>
        <v>80216</v>
      </c>
      <c r="F43" s="274">
        <f>SUM(F41:F42)</f>
        <v>72083</v>
      </c>
      <c r="G43" s="272">
        <f t="shared" ref="G43" si="42">SUM(G41:G42)</f>
        <v>361298</v>
      </c>
      <c r="H43" s="302">
        <f>SUM(H41:H42)</f>
        <v>37</v>
      </c>
      <c r="I43" s="302">
        <f t="shared" ref="I43:AS43" si="43">SUM(I41:I42)</f>
        <v>11</v>
      </c>
      <c r="J43" s="302">
        <f t="shared" si="43"/>
        <v>74</v>
      </c>
      <c r="K43" s="302">
        <f t="shared" si="43"/>
        <v>53</v>
      </c>
      <c r="L43" s="302">
        <f t="shared" si="43"/>
        <v>30</v>
      </c>
      <c r="M43" s="302">
        <f t="shared" si="43"/>
        <v>205</v>
      </c>
      <c r="N43" s="278">
        <f t="shared" si="43"/>
        <v>0.66434615008972109</v>
      </c>
      <c r="O43" s="302">
        <f t="shared" si="43"/>
        <v>24</v>
      </c>
      <c r="P43" s="302">
        <f t="shared" si="43"/>
        <v>15</v>
      </c>
      <c r="Q43" s="302">
        <f t="shared" si="43"/>
        <v>43</v>
      </c>
      <c r="R43" s="302">
        <f t="shared" si="43"/>
        <v>19</v>
      </c>
      <c r="S43" s="302">
        <f t="shared" si="43"/>
        <v>15</v>
      </c>
      <c r="T43" s="302">
        <f t="shared" si="43"/>
        <v>116</v>
      </c>
      <c r="U43" s="278">
        <f t="shared" si="43"/>
        <v>0.5788657166805421</v>
      </c>
      <c r="V43" s="302">
        <f t="shared" si="43"/>
        <v>18</v>
      </c>
      <c r="W43" s="302">
        <f t="shared" si="43"/>
        <v>5</v>
      </c>
      <c r="X43" s="302">
        <f t="shared" si="43"/>
        <v>19</v>
      </c>
      <c r="Y43" s="302">
        <f t="shared" si="43"/>
        <v>12</v>
      </c>
      <c r="Z43" s="302">
        <f t="shared" si="43"/>
        <v>2</v>
      </c>
      <c r="AA43" s="302">
        <f t="shared" si="43"/>
        <v>56</v>
      </c>
      <c r="AB43" s="278">
        <f t="shared" si="43"/>
        <v>0.13703984718587273</v>
      </c>
      <c r="AC43" s="302">
        <f t="shared" si="43"/>
        <v>6</v>
      </c>
      <c r="AD43" s="302">
        <f t="shared" si="43"/>
        <v>2</v>
      </c>
      <c r="AE43" s="302">
        <f t="shared" si="43"/>
        <v>2</v>
      </c>
      <c r="AF43" s="302">
        <f t="shared" si="43"/>
        <v>5</v>
      </c>
      <c r="AG43" s="302">
        <f t="shared" si="43"/>
        <v>2</v>
      </c>
      <c r="AH43" s="281">
        <f t="shared" si="43"/>
        <v>17</v>
      </c>
      <c r="AI43" s="302">
        <f t="shared" si="43"/>
        <v>1</v>
      </c>
      <c r="AJ43" s="302">
        <f t="shared" si="43"/>
        <v>2</v>
      </c>
      <c r="AK43" s="302">
        <f t="shared" si="43"/>
        <v>18</v>
      </c>
      <c r="AL43" s="302">
        <f t="shared" si="43"/>
        <v>0</v>
      </c>
      <c r="AM43" s="302">
        <f t="shared" si="43"/>
        <v>0</v>
      </c>
      <c r="AN43" s="281">
        <f t="shared" si="43"/>
        <v>21</v>
      </c>
      <c r="AO43" s="302">
        <f t="shared" si="43"/>
        <v>56</v>
      </c>
      <c r="AP43" s="302">
        <f t="shared" si="43"/>
        <v>48</v>
      </c>
      <c r="AQ43" s="302">
        <f t="shared" si="43"/>
        <v>72</v>
      </c>
      <c r="AR43" s="302">
        <f t="shared" si="43"/>
        <v>52</v>
      </c>
      <c r="AS43" s="302">
        <f t="shared" si="43"/>
        <v>30</v>
      </c>
      <c r="AT43" s="281">
        <f>SUM(AT41:AT42)</f>
        <v>258</v>
      </c>
    </row>
    <row r="44" spans="1:46" s="311" customFormat="1" ht="18" thickBot="1" x14ac:dyDescent="0.45">
      <c r="A44" s="328" t="s">
        <v>48</v>
      </c>
      <c r="B44" s="304">
        <f>B12+B26+B38+B43</f>
        <v>218109</v>
      </c>
      <c r="C44" s="305">
        <f>C12+C26+C38+C43</f>
        <v>132755</v>
      </c>
      <c r="D44" s="304">
        <f>D12+D26+D38+D43</f>
        <v>228971</v>
      </c>
      <c r="E44" s="305">
        <f>SUM(B44:D44)</f>
        <v>579835</v>
      </c>
      <c r="F44" s="305">
        <f t="shared" ref="F44:M44" si="44">F12+F26+F38+F43</f>
        <v>164412</v>
      </c>
      <c r="G44" s="307">
        <f t="shared" si="44"/>
        <v>982247</v>
      </c>
      <c r="H44" s="307">
        <f>H12+H26+H38+H43</f>
        <v>222</v>
      </c>
      <c r="I44" s="307">
        <f t="shared" si="44"/>
        <v>130</v>
      </c>
      <c r="J44" s="307">
        <f t="shared" si="44"/>
        <v>429</v>
      </c>
      <c r="K44" s="307">
        <f t="shared" si="44"/>
        <v>280</v>
      </c>
      <c r="L44" s="307">
        <f t="shared" si="44"/>
        <v>135</v>
      </c>
      <c r="M44" s="307">
        <f t="shared" si="44"/>
        <v>1196</v>
      </c>
      <c r="N44" s="309">
        <f>M44*100/G44</f>
        <v>0.12176163429361454</v>
      </c>
      <c r="O44" s="307">
        <f t="shared" ref="O44:T44" si="45">O12+O26+O38+O43</f>
        <v>265</v>
      </c>
      <c r="P44" s="307">
        <f t="shared" si="45"/>
        <v>125</v>
      </c>
      <c r="Q44" s="307">
        <f t="shared" si="45"/>
        <v>447</v>
      </c>
      <c r="R44" s="307">
        <f t="shared" si="45"/>
        <v>205</v>
      </c>
      <c r="S44" s="307">
        <f t="shared" si="45"/>
        <v>125</v>
      </c>
      <c r="T44" s="307">
        <f t="shared" si="45"/>
        <v>1167</v>
      </c>
      <c r="U44" s="309">
        <f>T44*100/G44</f>
        <v>0.11880922008415398</v>
      </c>
      <c r="V44" s="307">
        <f t="shared" ref="V44:AA44" si="46">V12+V26+V38+V43</f>
        <v>211</v>
      </c>
      <c r="W44" s="307">
        <f t="shared" si="46"/>
        <v>48</v>
      </c>
      <c r="X44" s="307">
        <f t="shared" si="46"/>
        <v>162</v>
      </c>
      <c r="Y44" s="307">
        <f t="shared" si="46"/>
        <v>97</v>
      </c>
      <c r="Z44" s="307">
        <f t="shared" si="46"/>
        <v>25</v>
      </c>
      <c r="AA44" s="307">
        <f t="shared" si="46"/>
        <v>543</v>
      </c>
      <c r="AB44" s="309">
        <f>AA44*100/G44</f>
        <v>5.5281410887485533E-2</v>
      </c>
      <c r="AC44" s="307">
        <f t="shared" ref="AC44:AG44" si="47">AC12+AC26+AC38+AC43</f>
        <v>100</v>
      </c>
      <c r="AD44" s="307">
        <f t="shared" si="47"/>
        <v>66</v>
      </c>
      <c r="AE44" s="307">
        <f t="shared" si="47"/>
        <v>29</v>
      </c>
      <c r="AF44" s="307">
        <f t="shared" si="47"/>
        <v>70</v>
      </c>
      <c r="AG44" s="307">
        <f t="shared" si="47"/>
        <v>37</v>
      </c>
      <c r="AH44" s="307">
        <f>AH12+AH26+AH38+AH43</f>
        <v>302</v>
      </c>
      <c r="AI44" s="307">
        <f t="shared" ref="AI44:AM44" si="48">AI12+AI26+AI38+AI43</f>
        <v>32</v>
      </c>
      <c r="AJ44" s="307">
        <f t="shared" si="48"/>
        <v>8</v>
      </c>
      <c r="AK44" s="307">
        <f t="shared" si="48"/>
        <v>99</v>
      </c>
      <c r="AL44" s="307">
        <f t="shared" si="48"/>
        <v>13</v>
      </c>
      <c r="AM44" s="307">
        <f t="shared" si="48"/>
        <v>18</v>
      </c>
      <c r="AN44" s="307">
        <f>AN12+AN26+AN38+AN43</f>
        <v>170</v>
      </c>
      <c r="AO44" s="307">
        <f t="shared" ref="AO44:AS44" si="49">AO12+AO26+AO38+AO43</f>
        <v>583</v>
      </c>
      <c r="AP44" s="307">
        <f>AP12+AP26+AP38+AP43</f>
        <v>428</v>
      </c>
      <c r="AQ44" s="307">
        <f t="shared" si="49"/>
        <v>1234</v>
      </c>
      <c r="AR44" s="307">
        <f t="shared" si="49"/>
        <v>571</v>
      </c>
      <c r="AS44" s="307">
        <f t="shared" si="49"/>
        <v>372</v>
      </c>
      <c r="AT44" s="307">
        <f>AT12+AT26+AT38+AT43</f>
        <v>3188</v>
      </c>
    </row>
  </sheetData>
  <mergeCells count="12">
    <mergeCell ref="A1:AO1"/>
    <mergeCell ref="A3:A4"/>
    <mergeCell ref="B3:G3"/>
    <mergeCell ref="H3:M3"/>
    <mergeCell ref="O3:T3"/>
    <mergeCell ref="U3:U4"/>
    <mergeCell ref="AB3:AB4"/>
    <mergeCell ref="V3:AA3"/>
    <mergeCell ref="N3:N4"/>
    <mergeCell ref="AC3:AH3"/>
    <mergeCell ref="AI3:AN3"/>
    <mergeCell ref="AO3:AT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9A95-CB15-4BCE-A9D9-43369825546F}">
  <sheetPr>
    <pageSetUpPr fitToPage="1"/>
  </sheetPr>
  <dimension ref="A1:BK62"/>
  <sheetViews>
    <sheetView showGridLines="0" zoomScaleNormal="100" zoomScaleSheetLayoutView="130" workbookViewId="0">
      <pane xSplit="1" ySplit="5" topLeftCell="AQ6" activePane="bottomRight" state="frozen"/>
      <selection pane="topRight" activeCell="B1" sqref="B1"/>
      <selection pane="bottomLeft" activeCell="A6" sqref="A6"/>
      <selection pane="bottomRight" activeCell="AV11" sqref="AV11"/>
    </sheetView>
  </sheetViews>
  <sheetFormatPr baseColWidth="10" defaultColWidth="11.5546875" defaultRowHeight="15" outlineLevelCol="1" x14ac:dyDescent="0.35"/>
  <cols>
    <col min="1" max="1" width="27.77734375" style="169" customWidth="1"/>
    <col min="2" max="6" width="10.77734375" style="169" customWidth="1" outlineLevel="1"/>
    <col min="7" max="7" width="10.77734375" style="169" customWidth="1"/>
    <col min="8" max="17" width="10.77734375" style="169" customWidth="1" outlineLevel="1"/>
    <col min="18" max="20" width="10.77734375" style="169" customWidth="1"/>
    <col min="21" max="30" width="10.77734375" style="169" customWidth="1" outlineLevel="1"/>
    <col min="31" max="33" width="10.77734375" style="169" customWidth="1"/>
    <col min="34" max="38" width="10.77734375" style="169" customWidth="1" outlineLevel="1"/>
    <col min="39" max="40" width="10.77734375" style="169" customWidth="1"/>
    <col min="41" max="45" width="10.77734375" style="169" customWidth="1" outlineLevel="1"/>
    <col min="46" max="46" width="10.77734375" style="169" customWidth="1"/>
    <col min="47" max="49" width="10.77734375" style="169" customWidth="1" outlineLevel="1"/>
    <col min="50" max="50" width="10.5546875" style="169" customWidth="1" outlineLevel="1"/>
    <col min="51" max="51" width="10.77734375" style="169" customWidth="1" outlineLevel="1"/>
    <col min="52" max="52" width="10.77734375" style="169" customWidth="1"/>
    <col min="53" max="53" width="10.77734375" style="169" customWidth="1" outlineLevel="1"/>
    <col min="54" max="57" width="10.88671875" style="169" customWidth="1" outlineLevel="1"/>
    <col min="58" max="58" width="11.5546875" style="169"/>
    <col min="59" max="59" width="10.88671875" style="240" customWidth="1"/>
    <col min="60" max="16384" width="11.5546875" style="169"/>
  </cols>
  <sheetData>
    <row r="1" spans="1:63" ht="28.8" x14ac:dyDescent="0.65">
      <c r="A1" s="518" t="s">
        <v>149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</row>
    <row r="2" spans="1:63" ht="21.6" thickBot="1" x14ac:dyDescent="0.55000000000000004">
      <c r="A2" s="241"/>
      <c r="B2" s="241"/>
      <c r="C2" s="241"/>
      <c r="D2" s="241"/>
      <c r="E2" s="241"/>
      <c r="F2" s="241"/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</row>
    <row r="3" spans="1:63" ht="66" customHeight="1" thickBot="1" x14ac:dyDescent="0.4">
      <c r="A3" s="541" t="s">
        <v>24</v>
      </c>
      <c r="B3" s="548" t="s">
        <v>132</v>
      </c>
      <c r="C3" s="549"/>
      <c r="D3" s="549"/>
      <c r="E3" s="549"/>
      <c r="F3" s="549"/>
      <c r="G3" s="550"/>
      <c r="H3" s="531" t="s">
        <v>128</v>
      </c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3"/>
      <c r="T3" s="553" t="s">
        <v>39</v>
      </c>
      <c r="U3" s="531" t="s">
        <v>127</v>
      </c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3"/>
      <c r="AG3" s="524" t="s">
        <v>42</v>
      </c>
      <c r="AH3" s="527" t="s">
        <v>43</v>
      </c>
      <c r="AI3" s="551"/>
      <c r="AJ3" s="551"/>
      <c r="AK3" s="551"/>
      <c r="AL3" s="551"/>
      <c r="AM3" s="528"/>
      <c r="AN3" s="524" t="s">
        <v>42</v>
      </c>
      <c r="AO3" s="529" t="s">
        <v>131</v>
      </c>
      <c r="AP3" s="552"/>
      <c r="AQ3" s="552"/>
      <c r="AR3" s="552"/>
      <c r="AS3" s="552"/>
      <c r="AT3" s="530"/>
      <c r="AU3" s="529" t="s">
        <v>129</v>
      </c>
      <c r="AV3" s="552"/>
      <c r="AW3" s="552"/>
      <c r="AX3" s="552"/>
      <c r="AY3" s="552"/>
      <c r="AZ3" s="530"/>
      <c r="BA3" s="529" t="s">
        <v>130</v>
      </c>
      <c r="BB3" s="552"/>
      <c r="BC3" s="552"/>
      <c r="BD3" s="552"/>
      <c r="BE3" s="552"/>
      <c r="BF3" s="530"/>
    </row>
    <row r="4" spans="1:63" ht="13.05" customHeight="1" thickBot="1" x14ac:dyDescent="0.4">
      <c r="A4" s="542"/>
      <c r="B4" s="544" t="s">
        <v>29</v>
      </c>
      <c r="C4" s="544" t="s">
        <v>30</v>
      </c>
      <c r="D4" s="544" t="s">
        <v>35</v>
      </c>
      <c r="E4" s="544" t="s">
        <v>31</v>
      </c>
      <c r="F4" s="544" t="s">
        <v>32</v>
      </c>
      <c r="G4" s="546" t="s">
        <v>21</v>
      </c>
      <c r="H4" s="527" t="s">
        <v>29</v>
      </c>
      <c r="I4" s="528"/>
      <c r="J4" s="527" t="s">
        <v>30</v>
      </c>
      <c r="K4" s="528"/>
      <c r="L4" s="527" t="s">
        <v>36</v>
      </c>
      <c r="M4" s="528"/>
      <c r="N4" s="527" t="s">
        <v>33</v>
      </c>
      <c r="O4" s="528"/>
      <c r="P4" s="527" t="s">
        <v>32</v>
      </c>
      <c r="Q4" s="528"/>
      <c r="R4" s="529" t="s">
        <v>21</v>
      </c>
      <c r="S4" s="530"/>
      <c r="T4" s="554"/>
      <c r="U4" s="527" t="s">
        <v>29</v>
      </c>
      <c r="V4" s="528"/>
      <c r="W4" s="527" t="s">
        <v>30</v>
      </c>
      <c r="X4" s="528"/>
      <c r="Y4" s="527" t="s">
        <v>36</v>
      </c>
      <c r="Z4" s="528"/>
      <c r="AA4" s="527" t="s">
        <v>33</v>
      </c>
      <c r="AB4" s="528"/>
      <c r="AC4" s="527" t="s">
        <v>32</v>
      </c>
      <c r="AD4" s="528"/>
      <c r="AE4" s="529" t="s">
        <v>21</v>
      </c>
      <c r="AF4" s="530"/>
      <c r="AG4" s="525"/>
      <c r="AH4" s="533" t="s">
        <v>29</v>
      </c>
      <c r="AI4" s="535" t="s">
        <v>30</v>
      </c>
      <c r="AJ4" s="535" t="s">
        <v>36</v>
      </c>
      <c r="AK4" s="535" t="s">
        <v>33</v>
      </c>
      <c r="AL4" s="535" t="s">
        <v>32</v>
      </c>
      <c r="AM4" s="537" t="s">
        <v>21</v>
      </c>
      <c r="AN4" s="525"/>
      <c r="AO4" s="533" t="s">
        <v>29</v>
      </c>
      <c r="AP4" s="535" t="s">
        <v>30</v>
      </c>
      <c r="AQ4" s="535" t="s">
        <v>36</v>
      </c>
      <c r="AR4" s="535" t="s">
        <v>33</v>
      </c>
      <c r="AS4" s="535" t="s">
        <v>32</v>
      </c>
      <c r="AT4" s="539" t="s">
        <v>21</v>
      </c>
      <c r="AU4" s="533" t="s">
        <v>29</v>
      </c>
      <c r="AV4" s="535" t="s">
        <v>30</v>
      </c>
      <c r="AW4" s="535" t="s">
        <v>36</v>
      </c>
      <c r="AX4" s="535" t="s">
        <v>33</v>
      </c>
      <c r="AY4" s="535" t="s">
        <v>32</v>
      </c>
      <c r="AZ4" s="539" t="s">
        <v>21</v>
      </c>
      <c r="BA4" s="533" t="s">
        <v>29</v>
      </c>
      <c r="BB4" s="535" t="s">
        <v>30</v>
      </c>
      <c r="BC4" s="535" t="s">
        <v>36</v>
      </c>
      <c r="BD4" s="535" t="s">
        <v>33</v>
      </c>
      <c r="BE4" s="535" t="s">
        <v>32</v>
      </c>
      <c r="BF4" s="539" t="s">
        <v>21</v>
      </c>
    </row>
    <row r="5" spans="1:63" ht="24.6" thickBot="1" x14ac:dyDescent="0.4">
      <c r="A5" s="543"/>
      <c r="B5" s="545"/>
      <c r="C5" s="545"/>
      <c r="D5" s="545"/>
      <c r="E5" s="545"/>
      <c r="F5" s="545"/>
      <c r="G5" s="547"/>
      <c r="H5" s="243" t="s">
        <v>147</v>
      </c>
      <c r="I5" s="244" t="s">
        <v>148</v>
      </c>
      <c r="J5" s="243" t="s">
        <v>147</v>
      </c>
      <c r="K5" s="244" t="s">
        <v>148</v>
      </c>
      <c r="L5" s="243" t="s">
        <v>147</v>
      </c>
      <c r="M5" s="244" t="s">
        <v>148</v>
      </c>
      <c r="N5" s="243" t="s">
        <v>147</v>
      </c>
      <c r="O5" s="244" t="s">
        <v>148</v>
      </c>
      <c r="P5" s="243" t="s">
        <v>147</v>
      </c>
      <c r="Q5" s="244" t="s">
        <v>148</v>
      </c>
      <c r="R5" s="245" t="s">
        <v>147</v>
      </c>
      <c r="S5" s="246" t="s">
        <v>148</v>
      </c>
      <c r="T5" s="555"/>
      <c r="U5" s="243" t="s">
        <v>147</v>
      </c>
      <c r="V5" s="244" t="s">
        <v>148</v>
      </c>
      <c r="W5" s="243" t="s">
        <v>147</v>
      </c>
      <c r="X5" s="244" t="s">
        <v>148</v>
      </c>
      <c r="Y5" s="243" t="s">
        <v>147</v>
      </c>
      <c r="Z5" s="244" t="s">
        <v>148</v>
      </c>
      <c r="AA5" s="243" t="s">
        <v>147</v>
      </c>
      <c r="AB5" s="244" t="s">
        <v>148</v>
      </c>
      <c r="AC5" s="243" t="s">
        <v>147</v>
      </c>
      <c r="AD5" s="244" t="s">
        <v>148</v>
      </c>
      <c r="AE5" s="245" t="s">
        <v>147</v>
      </c>
      <c r="AF5" s="246" t="s">
        <v>148</v>
      </c>
      <c r="AG5" s="526"/>
      <c r="AH5" s="534"/>
      <c r="AI5" s="536"/>
      <c r="AJ5" s="536"/>
      <c r="AK5" s="536"/>
      <c r="AL5" s="536"/>
      <c r="AM5" s="538"/>
      <c r="AN5" s="526"/>
      <c r="AO5" s="534"/>
      <c r="AP5" s="536"/>
      <c r="AQ5" s="536"/>
      <c r="AR5" s="536"/>
      <c r="AS5" s="536"/>
      <c r="AT5" s="540"/>
      <c r="AU5" s="534"/>
      <c r="AV5" s="536"/>
      <c r="AW5" s="536"/>
      <c r="AX5" s="536"/>
      <c r="AY5" s="536"/>
      <c r="AZ5" s="540"/>
      <c r="BA5" s="534"/>
      <c r="BB5" s="536"/>
      <c r="BC5" s="536"/>
      <c r="BD5" s="536"/>
      <c r="BE5" s="536"/>
      <c r="BF5" s="540"/>
    </row>
    <row r="6" spans="1:63" ht="15.6" x14ac:dyDescent="0.35">
      <c r="A6" s="247"/>
      <c r="B6" s="247"/>
      <c r="C6" s="247"/>
      <c r="D6" s="247"/>
      <c r="E6" s="247"/>
      <c r="F6" s="247"/>
      <c r="G6" s="248"/>
      <c r="H6" s="249"/>
      <c r="I6" s="249"/>
      <c r="J6" s="249"/>
      <c r="K6" s="249"/>
      <c r="L6" s="249"/>
      <c r="M6" s="249"/>
      <c r="N6" s="249"/>
      <c r="O6" s="249"/>
      <c r="P6" s="239"/>
      <c r="Q6" s="239"/>
      <c r="R6" s="239"/>
      <c r="S6" s="239"/>
      <c r="T6" s="23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</row>
    <row r="7" spans="1:63" ht="16.2" thickBot="1" x14ac:dyDescent="0.4">
      <c r="A7" s="250" t="s">
        <v>49</v>
      </c>
      <c r="B7" s="247"/>
      <c r="C7" s="247"/>
      <c r="D7" s="247"/>
      <c r="E7" s="247"/>
      <c r="F7" s="247"/>
      <c r="G7" s="248"/>
      <c r="H7" s="250"/>
      <c r="I7" s="250"/>
      <c r="J7" s="250"/>
      <c r="K7" s="250"/>
      <c r="L7" s="250"/>
      <c r="M7" s="250"/>
      <c r="N7" s="250"/>
      <c r="O7" s="250"/>
      <c r="P7" s="251"/>
      <c r="Q7" s="251"/>
      <c r="R7" s="251"/>
      <c r="S7" s="251"/>
      <c r="T7" s="251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  <c r="BF7" s="251"/>
      <c r="BG7" s="252"/>
      <c r="BH7" s="253"/>
      <c r="BI7" s="254"/>
      <c r="BJ7" s="254"/>
      <c r="BK7" s="254"/>
    </row>
    <row r="8" spans="1:63" ht="15" customHeight="1" thickBot="1" x14ac:dyDescent="0.4">
      <c r="A8" s="255" t="s">
        <v>1</v>
      </c>
      <c r="B8" s="256">
        <v>66</v>
      </c>
      <c r="C8" s="256">
        <v>49</v>
      </c>
      <c r="D8" s="256">
        <v>105</v>
      </c>
      <c r="E8" s="257">
        <v>101</v>
      </c>
      <c r="F8" s="258">
        <v>39</v>
      </c>
      <c r="G8" s="259">
        <f>SUM(B8:F8)</f>
        <v>360</v>
      </c>
      <c r="H8" s="260">
        <v>0</v>
      </c>
      <c r="I8" s="256">
        <v>0</v>
      </c>
      <c r="J8" s="256">
        <v>0</v>
      </c>
      <c r="K8" s="256">
        <v>0</v>
      </c>
      <c r="L8" s="256">
        <v>1</v>
      </c>
      <c r="M8" s="256">
        <v>0</v>
      </c>
      <c r="N8" s="256">
        <v>0</v>
      </c>
      <c r="O8" s="256">
        <v>0</v>
      </c>
      <c r="P8" s="256">
        <v>0</v>
      </c>
      <c r="Q8" s="258">
        <v>0</v>
      </c>
      <c r="R8" s="256">
        <f>H8+J8+L8+N8+P8</f>
        <v>1</v>
      </c>
      <c r="S8" s="258">
        <f>I8+K8+M8+O8+Q8</f>
        <v>0</v>
      </c>
      <c r="T8" s="261">
        <f t="shared" ref="T8:T13" si="0">(R8+S8)*100/G8</f>
        <v>0.27777777777777779</v>
      </c>
      <c r="U8" s="260">
        <v>0</v>
      </c>
      <c r="V8" s="256">
        <v>0</v>
      </c>
      <c r="W8" s="256">
        <v>0</v>
      </c>
      <c r="X8" s="256">
        <v>0</v>
      </c>
      <c r="Y8" s="256">
        <v>0</v>
      </c>
      <c r="Z8" s="256">
        <v>1</v>
      </c>
      <c r="AA8" s="256">
        <v>0</v>
      </c>
      <c r="AB8" s="256">
        <v>2</v>
      </c>
      <c r="AC8" s="256">
        <v>0</v>
      </c>
      <c r="AD8" s="258">
        <v>0</v>
      </c>
      <c r="AE8" s="256">
        <f>U8+W8+Y8+AA8+AC8</f>
        <v>0</v>
      </c>
      <c r="AF8" s="258">
        <f>V8+X8+Z8+AB8+AD8</f>
        <v>3</v>
      </c>
      <c r="AG8" s="261">
        <f t="shared" ref="AG8:AG13" si="1">(AE8+AF8)*100/G8</f>
        <v>0.83333333333333337</v>
      </c>
      <c r="AH8" s="260">
        <v>0</v>
      </c>
      <c r="AI8" s="256">
        <v>0</v>
      </c>
      <c r="AJ8" s="256">
        <v>1</v>
      </c>
      <c r="AK8" s="256">
        <v>0</v>
      </c>
      <c r="AL8" s="258">
        <v>0</v>
      </c>
      <c r="AM8" s="256">
        <f>SUM(AH8:AL8)</f>
        <v>1</v>
      </c>
      <c r="AN8" s="261">
        <f t="shared" ref="AN8:AN13" si="2">AM8*100/G8</f>
        <v>0.27777777777777779</v>
      </c>
      <c r="AO8" s="260">
        <v>0</v>
      </c>
      <c r="AP8" s="256">
        <v>0</v>
      </c>
      <c r="AQ8" s="256">
        <v>1</v>
      </c>
      <c r="AR8" s="256">
        <v>0</v>
      </c>
      <c r="AS8" s="258">
        <v>0</v>
      </c>
      <c r="AT8" s="256">
        <f>SUM(AO8:AS8)</f>
        <v>1</v>
      </c>
      <c r="AU8" s="262">
        <v>0</v>
      </c>
      <c r="AV8" s="263">
        <v>0</v>
      </c>
      <c r="AW8" s="263">
        <v>1</v>
      </c>
      <c r="AX8" s="263">
        <v>0</v>
      </c>
      <c r="AY8" s="264">
        <v>0</v>
      </c>
      <c r="AZ8" s="256">
        <f>SUM(AU8:AY8)</f>
        <v>1</v>
      </c>
      <c r="BA8" s="262">
        <v>3</v>
      </c>
      <c r="BB8" s="263">
        <v>1</v>
      </c>
      <c r="BC8" s="263">
        <v>1</v>
      </c>
      <c r="BD8" s="263">
        <v>2</v>
      </c>
      <c r="BE8" s="264">
        <v>0</v>
      </c>
      <c r="BF8" s="256">
        <f>SUM(BA8:BE8)</f>
        <v>7</v>
      </c>
      <c r="BG8" s="252"/>
      <c r="BH8" s="265"/>
      <c r="BI8" s="266"/>
      <c r="BJ8" s="254"/>
      <c r="BK8" s="254"/>
    </row>
    <row r="9" spans="1:63" ht="16.2" thickBot="1" x14ac:dyDescent="0.4">
      <c r="A9" s="267" t="s">
        <v>2</v>
      </c>
      <c r="B9" s="256">
        <v>462</v>
      </c>
      <c r="C9" s="256">
        <v>258</v>
      </c>
      <c r="D9" s="256">
        <v>696</v>
      </c>
      <c r="E9" s="257">
        <v>603</v>
      </c>
      <c r="F9" s="258">
        <v>280</v>
      </c>
      <c r="G9" s="259">
        <f>SUM(B9:F9)</f>
        <v>2299</v>
      </c>
      <c r="H9" s="260">
        <v>1</v>
      </c>
      <c r="I9" s="256">
        <v>0</v>
      </c>
      <c r="J9" s="256">
        <v>0</v>
      </c>
      <c r="K9" s="256">
        <v>1</v>
      </c>
      <c r="L9" s="256">
        <v>2</v>
      </c>
      <c r="M9" s="256">
        <v>0</v>
      </c>
      <c r="N9" s="256">
        <v>0</v>
      </c>
      <c r="O9" s="256">
        <v>2</v>
      </c>
      <c r="P9" s="256">
        <v>1</v>
      </c>
      <c r="Q9" s="258">
        <v>2</v>
      </c>
      <c r="R9" s="256">
        <f t="shared" ref="R9:R12" si="3">H9+J9+L9+N9+P9</f>
        <v>4</v>
      </c>
      <c r="S9" s="258">
        <f t="shared" ref="S9:S12" si="4">I9+K9+M9+O9+Q9</f>
        <v>5</v>
      </c>
      <c r="T9" s="261">
        <f t="shared" si="0"/>
        <v>0.39147455415397997</v>
      </c>
      <c r="U9" s="260">
        <v>4</v>
      </c>
      <c r="V9" s="256">
        <v>2</v>
      </c>
      <c r="W9" s="256">
        <v>0</v>
      </c>
      <c r="X9" s="256">
        <v>1</v>
      </c>
      <c r="Y9" s="256">
        <v>7</v>
      </c>
      <c r="Z9" s="256">
        <v>1</v>
      </c>
      <c r="AA9" s="256">
        <v>0</v>
      </c>
      <c r="AB9" s="256">
        <v>4</v>
      </c>
      <c r="AC9" s="256">
        <v>0</v>
      </c>
      <c r="AD9" s="258">
        <v>1</v>
      </c>
      <c r="AE9" s="256">
        <f t="shared" ref="AE9:AE12" si="5">U9+W9+Y9+AA9+AC9</f>
        <v>11</v>
      </c>
      <c r="AF9" s="258">
        <f t="shared" ref="AF9:AF12" si="6">V9+X9+Z9+AB9+AD9</f>
        <v>9</v>
      </c>
      <c r="AG9" s="261">
        <f t="shared" si="1"/>
        <v>0.86994345367551107</v>
      </c>
      <c r="AH9" s="260">
        <v>1</v>
      </c>
      <c r="AI9" s="256">
        <v>1</v>
      </c>
      <c r="AJ9" s="256">
        <v>2</v>
      </c>
      <c r="AK9" s="256">
        <v>1</v>
      </c>
      <c r="AL9" s="258">
        <v>0</v>
      </c>
      <c r="AM9" s="256">
        <f>SUM(AH9:AL9)</f>
        <v>5</v>
      </c>
      <c r="AN9" s="261">
        <f t="shared" si="2"/>
        <v>0.21748586341887777</v>
      </c>
      <c r="AO9" s="260">
        <v>1</v>
      </c>
      <c r="AP9" s="256">
        <v>0</v>
      </c>
      <c r="AQ9" s="256">
        <v>1</v>
      </c>
      <c r="AR9" s="256">
        <v>6</v>
      </c>
      <c r="AS9" s="258">
        <v>1</v>
      </c>
      <c r="AT9" s="256">
        <f t="shared" ref="AT9:AT12" si="7">SUM(AO9:AS9)</f>
        <v>9</v>
      </c>
      <c r="AU9" s="262">
        <v>0</v>
      </c>
      <c r="AV9" s="263">
        <v>0</v>
      </c>
      <c r="AW9" s="263">
        <v>1</v>
      </c>
      <c r="AX9" s="263">
        <v>0</v>
      </c>
      <c r="AY9" s="264">
        <v>2</v>
      </c>
      <c r="AZ9" s="256">
        <f t="shared" ref="AZ9:AZ12" si="8">SUM(AU9:AY9)</f>
        <v>3</v>
      </c>
      <c r="BA9" s="262">
        <v>11</v>
      </c>
      <c r="BB9" s="263">
        <v>9</v>
      </c>
      <c r="BC9" s="263">
        <v>25</v>
      </c>
      <c r="BD9" s="263">
        <v>12</v>
      </c>
      <c r="BE9" s="264">
        <v>1</v>
      </c>
      <c r="BF9" s="256">
        <f t="shared" ref="BF9:BF12" si="9">SUM(BA9:BE9)</f>
        <v>58</v>
      </c>
      <c r="BG9" s="252"/>
      <c r="BH9" s="265"/>
      <c r="BI9" s="266"/>
      <c r="BJ9" s="254"/>
      <c r="BK9" s="254"/>
    </row>
    <row r="10" spans="1:63" ht="16.2" thickBot="1" x14ac:dyDescent="0.4">
      <c r="A10" s="267" t="s">
        <v>14</v>
      </c>
      <c r="B10" s="256">
        <v>53</v>
      </c>
      <c r="C10" s="256">
        <v>39</v>
      </c>
      <c r="D10" s="256">
        <v>88</v>
      </c>
      <c r="E10" s="257">
        <v>99</v>
      </c>
      <c r="F10" s="258">
        <v>47</v>
      </c>
      <c r="G10" s="259">
        <f>SUM(B10:F10)</f>
        <v>326</v>
      </c>
      <c r="H10" s="260">
        <v>0</v>
      </c>
      <c r="I10" s="256">
        <v>1</v>
      </c>
      <c r="J10" s="256">
        <v>0</v>
      </c>
      <c r="K10" s="256">
        <v>0</v>
      </c>
      <c r="L10" s="256">
        <v>0</v>
      </c>
      <c r="M10" s="256">
        <v>1</v>
      </c>
      <c r="N10" s="256">
        <v>0</v>
      </c>
      <c r="O10" s="256">
        <v>0</v>
      </c>
      <c r="P10" s="256">
        <v>1</v>
      </c>
      <c r="Q10" s="258">
        <v>0</v>
      </c>
      <c r="R10" s="256">
        <f t="shared" si="3"/>
        <v>1</v>
      </c>
      <c r="S10" s="258">
        <f t="shared" si="4"/>
        <v>2</v>
      </c>
      <c r="T10" s="261">
        <f t="shared" si="0"/>
        <v>0.92024539877300615</v>
      </c>
      <c r="U10" s="260">
        <v>0</v>
      </c>
      <c r="V10" s="256">
        <v>0</v>
      </c>
      <c r="W10" s="256">
        <v>0</v>
      </c>
      <c r="X10" s="256">
        <v>0</v>
      </c>
      <c r="Y10" s="256">
        <v>0</v>
      </c>
      <c r="Z10" s="256">
        <v>1</v>
      </c>
      <c r="AA10" s="256">
        <v>0</v>
      </c>
      <c r="AB10" s="256">
        <v>0</v>
      </c>
      <c r="AC10" s="256">
        <v>0</v>
      </c>
      <c r="AD10" s="258">
        <v>0</v>
      </c>
      <c r="AE10" s="256">
        <f t="shared" si="5"/>
        <v>0</v>
      </c>
      <c r="AF10" s="258">
        <f t="shared" si="6"/>
        <v>1</v>
      </c>
      <c r="AG10" s="261">
        <f t="shared" si="1"/>
        <v>0.30674846625766872</v>
      </c>
      <c r="AH10" s="260">
        <v>0</v>
      </c>
      <c r="AI10" s="256">
        <v>0</v>
      </c>
      <c r="AJ10" s="256">
        <v>0</v>
      </c>
      <c r="AK10" s="256">
        <v>0</v>
      </c>
      <c r="AL10" s="258">
        <v>0</v>
      </c>
      <c r="AM10" s="256">
        <f>SUM(AH10:AL10)</f>
        <v>0</v>
      </c>
      <c r="AN10" s="261">
        <f t="shared" si="2"/>
        <v>0</v>
      </c>
      <c r="AO10" s="260">
        <v>0</v>
      </c>
      <c r="AP10" s="256">
        <v>0</v>
      </c>
      <c r="AQ10" s="256">
        <v>0</v>
      </c>
      <c r="AR10" s="256">
        <v>0</v>
      </c>
      <c r="AS10" s="258">
        <v>0</v>
      </c>
      <c r="AT10" s="256">
        <f t="shared" si="7"/>
        <v>0</v>
      </c>
      <c r="AU10" s="262">
        <v>0</v>
      </c>
      <c r="AV10" s="263">
        <v>0</v>
      </c>
      <c r="AW10" s="263">
        <v>0</v>
      </c>
      <c r="AX10" s="263">
        <v>0</v>
      </c>
      <c r="AY10" s="264">
        <v>0</v>
      </c>
      <c r="AZ10" s="256">
        <f t="shared" si="8"/>
        <v>0</v>
      </c>
      <c r="BA10" s="262">
        <v>0</v>
      </c>
      <c r="BB10" s="263">
        <v>0</v>
      </c>
      <c r="BC10" s="263">
        <v>0</v>
      </c>
      <c r="BD10" s="263">
        <v>0</v>
      </c>
      <c r="BE10" s="264">
        <v>0</v>
      </c>
      <c r="BF10" s="256">
        <f t="shared" si="9"/>
        <v>0</v>
      </c>
      <c r="BG10" s="252"/>
      <c r="BH10" s="265"/>
      <c r="BI10" s="266"/>
      <c r="BJ10" s="254"/>
      <c r="BK10" s="254"/>
    </row>
    <row r="11" spans="1:63" ht="16.2" thickBot="1" x14ac:dyDescent="0.4">
      <c r="A11" s="267" t="s">
        <v>3</v>
      </c>
      <c r="B11" s="256">
        <v>68</v>
      </c>
      <c r="C11" s="256">
        <v>73</v>
      </c>
      <c r="D11" s="256">
        <v>155</v>
      </c>
      <c r="E11" s="257">
        <v>84</v>
      </c>
      <c r="F11" s="258">
        <v>35</v>
      </c>
      <c r="G11" s="259">
        <f>SUM(B11:F11)</f>
        <v>415</v>
      </c>
      <c r="H11" s="260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3</v>
      </c>
      <c r="N11" s="256">
        <v>0</v>
      </c>
      <c r="O11" s="256">
        <v>1</v>
      </c>
      <c r="P11" s="256">
        <v>0</v>
      </c>
      <c r="Q11" s="258">
        <v>0</v>
      </c>
      <c r="R11" s="256">
        <f t="shared" si="3"/>
        <v>0</v>
      </c>
      <c r="S11" s="258">
        <f t="shared" si="4"/>
        <v>4</v>
      </c>
      <c r="T11" s="261">
        <f t="shared" si="0"/>
        <v>0.96385542168674698</v>
      </c>
      <c r="U11" s="260">
        <v>0</v>
      </c>
      <c r="V11" s="256">
        <v>0</v>
      </c>
      <c r="W11" s="256">
        <v>0</v>
      </c>
      <c r="X11" s="256">
        <v>0</v>
      </c>
      <c r="Y11" s="256">
        <v>0</v>
      </c>
      <c r="Z11" s="256">
        <v>0</v>
      </c>
      <c r="AA11" s="256">
        <v>0</v>
      </c>
      <c r="AB11" s="256">
        <v>0</v>
      </c>
      <c r="AC11" s="256">
        <v>0</v>
      </c>
      <c r="AD11" s="258">
        <v>0</v>
      </c>
      <c r="AE11" s="256">
        <f t="shared" si="5"/>
        <v>0</v>
      </c>
      <c r="AF11" s="258">
        <f t="shared" si="6"/>
        <v>0</v>
      </c>
      <c r="AG11" s="261">
        <f t="shared" si="1"/>
        <v>0</v>
      </c>
      <c r="AH11" s="260">
        <v>1</v>
      </c>
      <c r="AI11" s="256">
        <v>0</v>
      </c>
      <c r="AJ11" s="256">
        <v>1</v>
      </c>
      <c r="AK11" s="256">
        <v>0</v>
      </c>
      <c r="AL11" s="258">
        <v>0</v>
      </c>
      <c r="AM11" s="256">
        <f>SUM(AH11:AL11)</f>
        <v>2</v>
      </c>
      <c r="AN11" s="261">
        <f t="shared" si="2"/>
        <v>0.48192771084337349</v>
      </c>
      <c r="AO11" s="260">
        <v>1</v>
      </c>
      <c r="AP11" s="256">
        <v>0</v>
      </c>
      <c r="AQ11" s="256">
        <v>0</v>
      </c>
      <c r="AR11" s="256">
        <v>0</v>
      </c>
      <c r="AS11" s="258">
        <v>0</v>
      </c>
      <c r="AT11" s="256">
        <f t="shared" si="7"/>
        <v>1</v>
      </c>
      <c r="AU11" s="262">
        <v>0</v>
      </c>
      <c r="AV11" s="263">
        <v>0</v>
      </c>
      <c r="AW11" s="263">
        <v>0</v>
      </c>
      <c r="AX11" s="263">
        <v>0</v>
      </c>
      <c r="AY11" s="264">
        <v>0</v>
      </c>
      <c r="AZ11" s="256">
        <f t="shared" si="8"/>
        <v>0</v>
      </c>
      <c r="BA11" s="262">
        <v>1</v>
      </c>
      <c r="BB11" s="263">
        <v>0</v>
      </c>
      <c r="BC11" s="263">
        <v>5</v>
      </c>
      <c r="BD11" s="263">
        <v>1</v>
      </c>
      <c r="BE11" s="264">
        <v>0</v>
      </c>
      <c r="BF11" s="256">
        <f t="shared" si="9"/>
        <v>7</v>
      </c>
      <c r="BG11" s="252"/>
      <c r="BH11" s="265"/>
      <c r="BI11" s="266"/>
      <c r="BJ11" s="254"/>
      <c r="BK11" s="254"/>
    </row>
    <row r="12" spans="1:63" ht="27" thickBot="1" x14ac:dyDescent="0.4">
      <c r="A12" s="268" t="s">
        <v>23</v>
      </c>
      <c r="B12" s="256">
        <v>616</v>
      </c>
      <c r="C12" s="256">
        <v>258</v>
      </c>
      <c r="D12" s="256">
        <v>753</v>
      </c>
      <c r="E12" s="257">
        <v>820</v>
      </c>
      <c r="F12" s="258">
        <v>326</v>
      </c>
      <c r="G12" s="259">
        <f>SUM(B12:F12)</f>
        <v>2773</v>
      </c>
      <c r="H12" s="260">
        <v>0</v>
      </c>
      <c r="I12" s="256">
        <v>1</v>
      </c>
      <c r="J12" s="256">
        <v>2</v>
      </c>
      <c r="K12" s="256">
        <v>1</v>
      </c>
      <c r="L12" s="256">
        <v>0</v>
      </c>
      <c r="M12" s="256">
        <v>3</v>
      </c>
      <c r="N12" s="256">
        <v>0</v>
      </c>
      <c r="O12" s="256">
        <v>0</v>
      </c>
      <c r="P12" s="256">
        <v>0</v>
      </c>
      <c r="Q12" s="258">
        <v>0</v>
      </c>
      <c r="R12" s="256">
        <f t="shared" si="3"/>
        <v>2</v>
      </c>
      <c r="S12" s="258">
        <f t="shared" si="4"/>
        <v>5</v>
      </c>
      <c r="T12" s="261">
        <f t="shared" si="0"/>
        <v>0.25243418680129825</v>
      </c>
      <c r="U12" s="260">
        <v>0</v>
      </c>
      <c r="V12" s="256">
        <v>3</v>
      </c>
      <c r="W12" s="256">
        <v>0</v>
      </c>
      <c r="X12" s="256">
        <v>1</v>
      </c>
      <c r="Y12" s="256">
        <v>1</v>
      </c>
      <c r="Z12" s="256">
        <v>1</v>
      </c>
      <c r="AA12" s="256">
        <v>0</v>
      </c>
      <c r="AB12" s="256">
        <v>2</v>
      </c>
      <c r="AC12" s="256">
        <v>0</v>
      </c>
      <c r="AD12" s="258">
        <v>0</v>
      </c>
      <c r="AE12" s="256">
        <f t="shared" si="5"/>
        <v>1</v>
      </c>
      <c r="AF12" s="258">
        <f t="shared" si="6"/>
        <v>7</v>
      </c>
      <c r="AG12" s="261">
        <f t="shared" si="1"/>
        <v>0.28849621348719801</v>
      </c>
      <c r="AH12" s="260">
        <v>0</v>
      </c>
      <c r="AI12" s="256">
        <v>1</v>
      </c>
      <c r="AJ12" s="256">
        <v>0</v>
      </c>
      <c r="AK12" s="256">
        <v>2</v>
      </c>
      <c r="AL12" s="258">
        <v>0</v>
      </c>
      <c r="AM12" s="256">
        <f>SUM(AH12:AL12)</f>
        <v>3</v>
      </c>
      <c r="AN12" s="261">
        <f t="shared" si="2"/>
        <v>0.10818608005769924</v>
      </c>
      <c r="AO12" s="260">
        <v>4</v>
      </c>
      <c r="AP12" s="256">
        <v>0</v>
      </c>
      <c r="AQ12" s="256">
        <v>0</v>
      </c>
      <c r="AR12" s="256">
        <v>7</v>
      </c>
      <c r="AS12" s="258">
        <v>0</v>
      </c>
      <c r="AT12" s="256">
        <f t="shared" si="7"/>
        <v>11</v>
      </c>
      <c r="AU12" s="262">
        <v>0</v>
      </c>
      <c r="AV12" s="263">
        <v>0</v>
      </c>
      <c r="AW12" s="263">
        <v>0</v>
      </c>
      <c r="AX12" s="263">
        <v>0</v>
      </c>
      <c r="AY12" s="264">
        <v>0</v>
      </c>
      <c r="AZ12" s="256">
        <f t="shared" si="8"/>
        <v>0</v>
      </c>
      <c r="BA12" s="262">
        <v>13</v>
      </c>
      <c r="BB12" s="263">
        <v>18</v>
      </c>
      <c r="BC12" s="263">
        <v>11</v>
      </c>
      <c r="BD12" s="263">
        <v>6</v>
      </c>
      <c r="BE12" s="264">
        <v>2</v>
      </c>
      <c r="BF12" s="256">
        <f t="shared" si="9"/>
        <v>50</v>
      </c>
      <c r="BG12" s="252"/>
      <c r="BH12" s="265"/>
      <c r="BI12" s="266"/>
      <c r="BJ12" s="254"/>
      <c r="BK12" s="254"/>
    </row>
    <row r="13" spans="1:63" s="240" customFormat="1" ht="16.2" thickBot="1" x14ac:dyDescent="0.4">
      <c r="A13" s="269" t="s">
        <v>21</v>
      </c>
      <c r="B13" s="270">
        <f t="shared" ref="B13:S13" si="10">SUM(B8:B12)</f>
        <v>1265</v>
      </c>
      <c r="C13" s="270">
        <f t="shared" si="10"/>
        <v>677</v>
      </c>
      <c r="D13" s="270">
        <f t="shared" si="10"/>
        <v>1797</v>
      </c>
      <c r="E13" s="270">
        <f t="shared" si="10"/>
        <v>1707</v>
      </c>
      <c r="F13" s="271">
        <f t="shared" si="10"/>
        <v>727</v>
      </c>
      <c r="G13" s="272">
        <f>SUM(G8:G12)</f>
        <v>6173</v>
      </c>
      <c r="H13" s="273">
        <f t="shared" si="10"/>
        <v>1</v>
      </c>
      <c r="I13" s="274">
        <f t="shared" si="10"/>
        <v>2</v>
      </c>
      <c r="J13" s="274">
        <f t="shared" si="10"/>
        <v>2</v>
      </c>
      <c r="K13" s="274">
        <f t="shared" si="10"/>
        <v>2</v>
      </c>
      <c r="L13" s="274">
        <f t="shared" si="10"/>
        <v>3</v>
      </c>
      <c r="M13" s="274">
        <f t="shared" si="10"/>
        <v>7</v>
      </c>
      <c r="N13" s="274">
        <f t="shared" si="10"/>
        <v>0</v>
      </c>
      <c r="O13" s="274">
        <f t="shared" si="10"/>
        <v>3</v>
      </c>
      <c r="P13" s="274">
        <f t="shared" si="10"/>
        <v>2</v>
      </c>
      <c r="Q13" s="275">
        <f t="shared" si="10"/>
        <v>2</v>
      </c>
      <c r="R13" s="276">
        <f t="shared" si="10"/>
        <v>8</v>
      </c>
      <c r="S13" s="277">
        <f t="shared" si="10"/>
        <v>16</v>
      </c>
      <c r="T13" s="278">
        <f t="shared" si="0"/>
        <v>0.38878989146282195</v>
      </c>
      <c r="U13" s="279">
        <f>SUM(U8:U12)</f>
        <v>4</v>
      </c>
      <c r="V13" s="270">
        <f t="shared" ref="V13:AD13" si="11">SUM(V8:V12)</f>
        <v>5</v>
      </c>
      <c r="W13" s="270">
        <f t="shared" si="11"/>
        <v>0</v>
      </c>
      <c r="X13" s="270">
        <f t="shared" si="11"/>
        <v>2</v>
      </c>
      <c r="Y13" s="270">
        <f t="shared" si="11"/>
        <v>8</v>
      </c>
      <c r="Z13" s="270">
        <f t="shared" si="11"/>
        <v>4</v>
      </c>
      <c r="AA13" s="270">
        <f t="shared" si="11"/>
        <v>0</v>
      </c>
      <c r="AB13" s="270">
        <f t="shared" si="11"/>
        <v>8</v>
      </c>
      <c r="AC13" s="270">
        <f t="shared" si="11"/>
        <v>0</v>
      </c>
      <c r="AD13" s="271">
        <f t="shared" si="11"/>
        <v>1</v>
      </c>
      <c r="AE13" s="276">
        <f>SUM(AE8:AE12)</f>
        <v>12</v>
      </c>
      <c r="AF13" s="277">
        <f>SUM(AF8:AF12)</f>
        <v>20</v>
      </c>
      <c r="AG13" s="278">
        <f t="shared" si="1"/>
        <v>0.51838652195042934</v>
      </c>
      <c r="AH13" s="279">
        <f>SUM(AH8:AH12)</f>
        <v>2</v>
      </c>
      <c r="AI13" s="270">
        <f t="shared" ref="AI13:AM13" si="12">SUM(AI8:AI12)</f>
        <v>2</v>
      </c>
      <c r="AJ13" s="270">
        <f t="shared" si="12"/>
        <v>4</v>
      </c>
      <c r="AK13" s="270">
        <f>SUM(AK8:AK12)</f>
        <v>3</v>
      </c>
      <c r="AL13" s="271">
        <f t="shared" si="12"/>
        <v>0</v>
      </c>
      <c r="AM13" s="280">
        <f t="shared" si="12"/>
        <v>11</v>
      </c>
      <c r="AN13" s="278">
        <f t="shared" si="2"/>
        <v>0.17819536692046006</v>
      </c>
      <c r="AO13" s="279">
        <f>SUM(AO8:AO12)</f>
        <v>6</v>
      </c>
      <c r="AP13" s="270">
        <f t="shared" ref="AP13:AS13" si="13">SUM(AP8:AP12)</f>
        <v>0</v>
      </c>
      <c r="AQ13" s="270">
        <f t="shared" si="13"/>
        <v>2</v>
      </c>
      <c r="AR13" s="270">
        <f>SUM(AR8:AR12)</f>
        <v>13</v>
      </c>
      <c r="AS13" s="271">
        <f t="shared" si="13"/>
        <v>1</v>
      </c>
      <c r="AT13" s="281">
        <f>SUM(AT8:AT12)</f>
        <v>22</v>
      </c>
      <c r="AU13" s="279">
        <f>SUM(AU8:AU12)</f>
        <v>0</v>
      </c>
      <c r="AV13" s="270">
        <f t="shared" ref="AV13:AY13" si="14">SUM(AV8:AV12)</f>
        <v>0</v>
      </c>
      <c r="AW13" s="270">
        <f t="shared" si="14"/>
        <v>2</v>
      </c>
      <c r="AX13" s="270">
        <f>SUM(AX8:AX12)</f>
        <v>0</v>
      </c>
      <c r="AY13" s="271">
        <f t="shared" si="14"/>
        <v>2</v>
      </c>
      <c r="AZ13" s="281">
        <f>SUM(AZ8:AZ12)</f>
        <v>4</v>
      </c>
      <c r="BA13" s="279">
        <f>SUM(BA8:BA12)</f>
        <v>28</v>
      </c>
      <c r="BB13" s="270">
        <f t="shared" ref="BB13:BE13" si="15">SUM(BB8:BB12)</f>
        <v>28</v>
      </c>
      <c r="BC13" s="270">
        <f t="shared" si="15"/>
        <v>42</v>
      </c>
      <c r="BD13" s="270">
        <f>SUM(BD8:BD12)</f>
        <v>21</v>
      </c>
      <c r="BE13" s="271">
        <f t="shared" si="15"/>
        <v>3</v>
      </c>
      <c r="BF13" s="281">
        <f>SUM(BF8:BF12)</f>
        <v>122</v>
      </c>
      <c r="BG13" s="252"/>
      <c r="BH13" s="265"/>
      <c r="BI13" s="266"/>
      <c r="BJ13" s="252"/>
      <c r="BK13" s="252"/>
    </row>
    <row r="14" spans="1:63" s="240" customFormat="1" ht="16.2" thickBot="1" x14ac:dyDescent="0.4">
      <c r="A14" s="282" t="s">
        <v>171</v>
      </c>
      <c r="B14" s="283"/>
      <c r="C14" s="283"/>
      <c r="D14" s="283"/>
      <c r="E14" s="283"/>
      <c r="F14" s="283"/>
      <c r="G14" s="283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5">
        <f>R13/$G$13*100</f>
        <v>0.12959663048760731</v>
      </c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5">
        <f>AE13/$G$13*100</f>
        <v>0.194394945731411</v>
      </c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6"/>
      <c r="AU14" s="286"/>
      <c r="AV14" s="286"/>
      <c r="AW14" s="286"/>
      <c r="AX14" s="286"/>
      <c r="AY14" s="286"/>
      <c r="AZ14" s="204"/>
      <c r="BA14" s="286"/>
      <c r="BB14" s="286"/>
      <c r="BC14" s="286"/>
      <c r="BD14" s="286"/>
      <c r="BE14" s="286"/>
      <c r="BF14" s="286"/>
      <c r="BG14" s="252"/>
      <c r="BH14" s="265"/>
      <c r="BI14" s="266"/>
      <c r="BJ14" s="252"/>
      <c r="BK14" s="252"/>
    </row>
    <row r="15" spans="1:63" ht="15.6" x14ac:dyDescent="0.35">
      <c r="A15" s="287"/>
      <c r="B15" s="288"/>
      <c r="C15" s="288"/>
      <c r="D15" s="288"/>
      <c r="E15" s="288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52"/>
      <c r="BH15" s="265"/>
      <c r="BI15" s="266"/>
      <c r="BJ15" s="254"/>
      <c r="BK15" s="254"/>
    </row>
    <row r="16" spans="1:63" ht="16.2" thickBot="1" x14ac:dyDescent="0.4">
      <c r="A16" s="289" t="s">
        <v>51</v>
      </c>
      <c r="B16" s="290"/>
      <c r="C16" s="290"/>
      <c r="D16" s="290"/>
      <c r="E16" s="290"/>
      <c r="F16" s="291"/>
      <c r="G16" s="284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52"/>
      <c r="BH16" s="265"/>
      <c r="BI16" s="266"/>
      <c r="BJ16" s="254"/>
      <c r="BK16" s="254"/>
    </row>
    <row r="17" spans="1:63" ht="16.2" thickBot="1" x14ac:dyDescent="0.4">
      <c r="A17" s="255" t="s">
        <v>4</v>
      </c>
      <c r="B17" s="256">
        <v>12</v>
      </c>
      <c r="C17" s="256">
        <v>7</v>
      </c>
      <c r="D17" s="256">
        <v>19</v>
      </c>
      <c r="E17" s="256">
        <v>23</v>
      </c>
      <c r="F17" s="258">
        <v>1</v>
      </c>
      <c r="G17" s="259">
        <f>SUM(B17:F17)</f>
        <v>62</v>
      </c>
      <c r="H17" s="260">
        <v>1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8">
        <v>0</v>
      </c>
      <c r="R17" s="256">
        <f>H17+J17+L17+N17+P17</f>
        <v>1</v>
      </c>
      <c r="S17" s="258">
        <f>I17+K17+M17+O17+Q17</f>
        <v>0</v>
      </c>
      <c r="T17" s="261">
        <f t="shared" ref="T17:T28" si="16">(R17+S17)*100/G17</f>
        <v>1.6129032258064515</v>
      </c>
      <c r="U17" s="260">
        <v>0</v>
      </c>
      <c r="V17" s="256">
        <v>0</v>
      </c>
      <c r="W17" s="256">
        <v>0</v>
      </c>
      <c r="X17" s="256">
        <v>0</v>
      </c>
      <c r="Y17" s="256">
        <v>0</v>
      </c>
      <c r="Z17" s="256">
        <v>0</v>
      </c>
      <c r="AA17" s="256">
        <v>0</v>
      </c>
      <c r="AB17" s="256">
        <v>1</v>
      </c>
      <c r="AC17" s="256">
        <v>0</v>
      </c>
      <c r="AD17" s="256">
        <v>0</v>
      </c>
      <c r="AE17" s="256">
        <f>U17+W17+Y17+AA17+AC17</f>
        <v>0</v>
      </c>
      <c r="AF17" s="256">
        <f>V17+X17+Z17+AB17+AD17</f>
        <v>1</v>
      </c>
      <c r="AG17" s="261">
        <f t="shared" ref="AG17:AG28" si="17">(AE17+AF17)*100/G17</f>
        <v>1.6129032258064515</v>
      </c>
      <c r="AH17" s="256">
        <v>0</v>
      </c>
      <c r="AI17" s="256">
        <v>0</v>
      </c>
      <c r="AJ17" s="256">
        <v>0</v>
      </c>
      <c r="AK17" s="256">
        <v>0</v>
      </c>
      <c r="AL17" s="256">
        <v>0</v>
      </c>
      <c r="AM17" s="263">
        <f>SUM(AH17:AL17)</f>
        <v>0</v>
      </c>
      <c r="AN17" s="261">
        <f t="shared" ref="AN17:AN28" si="18">AM17*100/G17</f>
        <v>0</v>
      </c>
      <c r="AO17" s="256">
        <v>0</v>
      </c>
      <c r="AP17" s="256">
        <v>0</v>
      </c>
      <c r="AQ17" s="256">
        <v>0</v>
      </c>
      <c r="AR17" s="256">
        <v>0</v>
      </c>
      <c r="AS17" s="256">
        <v>0</v>
      </c>
      <c r="AT17" s="256">
        <f>SUM(AO17:AS17)</f>
        <v>0</v>
      </c>
      <c r="AU17" s="263">
        <v>0</v>
      </c>
      <c r="AV17" s="263">
        <v>0</v>
      </c>
      <c r="AW17" s="263">
        <v>0</v>
      </c>
      <c r="AX17" s="263">
        <v>0</v>
      </c>
      <c r="AY17" s="263">
        <v>0</v>
      </c>
      <c r="AZ17" s="256">
        <f>SUM(AU17:AY17)</f>
        <v>0</v>
      </c>
      <c r="BA17" s="263">
        <v>0</v>
      </c>
      <c r="BB17" s="263">
        <v>0</v>
      </c>
      <c r="BC17" s="263">
        <v>0</v>
      </c>
      <c r="BD17" s="263">
        <v>1</v>
      </c>
      <c r="BE17" s="263">
        <v>0</v>
      </c>
      <c r="BF17" s="256">
        <f>SUM(BA17:BE17)</f>
        <v>1</v>
      </c>
      <c r="BG17" s="252"/>
      <c r="BH17" s="265"/>
      <c r="BI17" s="266"/>
      <c r="BJ17" s="254"/>
      <c r="BK17" s="254"/>
    </row>
    <row r="18" spans="1:63" ht="16.2" thickBot="1" x14ac:dyDescent="0.4">
      <c r="A18" s="255" t="s">
        <v>5</v>
      </c>
      <c r="B18" s="256">
        <v>190</v>
      </c>
      <c r="C18" s="256">
        <v>84</v>
      </c>
      <c r="D18" s="256">
        <v>310</v>
      </c>
      <c r="E18" s="256">
        <v>412</v>
      </c>
      <c r="F18" s="258">
        <v>131</v>
      </c>
      <c r="G18" s="259">
        <f t="shared" ref="G18:G27" si="19">SUM(B18:F18)</f>
        <v>1127</v>
      </c>
      <c r="H18" s="260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1</v>
      </c>
      <c r="N18" s="256">
        <v>1</v>
      </c>
      <c r="O18" s="256">
        <v>2</v>
      </c>
      <c r="P18" s="256">
        <v>0</v>
      </c>
      <c r="Q18" s="258">
        <v>0</v>
      </c>
      <c r="R18" s="256">
        <f t="shared" ref="R18:R27" si="20">H18+J18+L18+N18+P18</f>
        <v>2</v>
      </c>
      <c r="S18" s="258">
        <f t="shared" ref="S18:S27" si="21">I18+K18+M18+O18+Q18</f>
        <v>3</v>
      </c>
      <c r="T18" s="261">
        <f t="shared" si="16"/>
        <v>0.44365572315882873</v>
      </c>
      <c r="U18" s="260">
        <v>0</v>
      </c>
      <c r="V18" s="256">
        <v>0</v>
      </c>
      <c r="W18" s="256">
        <v>0</v>
      </c>
      <c r="X18" s="256">
        <v>0</v>
      </c>
      <c r="Y18" s="256">
        <v>3</v>
      </c>
      <c r="Z18" s="256">
        <v>1</v>
      </c>
      <c r="AA18" s="256">
        <v>1</v>
      </c>
      <c r="AB18" s="256">
        <v>1</v>
      </c>
      <c r="AC18" s="256">
        <v>1</v>
      </c>
      <c r="AD18" s="256">
        <v>0</v>
      </c>
      <c r="AE18" s="256">
        <f t="shared" ref="AE18:AE27" si="22">U18+W18+Y18+AA18+AC18</f>
        <v>5</v>
      </c>
      <c r="AF18" s="256">
        <f t="shared" ref="AF18:AF27" si="23">V18+X18+Z18+AB18+AD18</f>
        <v>2</v>
      </c>
      <c r="AG18" s="261">
        <f t="shared" si="17"/>
        <v>0.6211180124223602</v>
      </c>
      <c r="AH18" s="256">
        <v>1</v>
      </c>
      <c r="AI18" s="256">
        <v>1</v>
      </c>
      <c r="AJ18" s="256">
        <v>1</v>
      </c>
      <c r="AK18" s="256">
        <v>0</v>
      </c>
      <c r="AL18" s="256">
        <v>0</v>
      </c>
      <c r="AM18" s="256">
        <f>SUM(AH18:AL18)</f>
        <v>3</v>
      </c>
      <c r="AN18" s="261">
        <f t="shared" si="18"/>
        <v>0.26619343389529726</v>
      </c>
      <c r="AO18" s="256">
        <v>0</v>
      </c>
      <c r="AP18" s="256">
        <v>0</v>
      </c>
      <c r="AQ18" s="256">
        <v>0</v>
      </c>
      <c r="AR18" s="256">
        <v>0</v>
      </c>
      <c r="AS18" s="256">
        <v>0</v>
      </c>
      <c r="AT18" s="256">
        <f t="shared" ref="AT18:AT27" si="24">SUM(AO18:AS18)</f>
        <v>0</v>
      </c>
      <c r="AU18" s="263">
        <v>0</v>
      </c>
      <c r="AV18" s="263">
        <v>0</v>
      </c>
      <c r="AW18" s="263">
        <v>1</v>
      </c>
      <c r="AX18" s="263">
        <v>1</v>
      </c>
      <c r="AY18" s="263">
        <v>0</v>
      </c>
      <c r="AZ18" s="256">
        <f t="shared" ref="AZ18:AZ27" si="25">SUM(AU18:AY18)</f>
        <v>2</v>
      </c>
      <c r="BA18" s="263">
        <v>4</v>
      </c>
      <c r="BB18" s="263">
        <v>6</v>
      </c>
      <c r="BC18" s="263">
        <v>5</v>
      </c>
      <c r="BD18" s="263">
        <v>6</v>
      </c>
      <c r="BE18" s="263">
        <v>0</v>
      </c>
      <c r="BF18" s="256">
        <f t="shared" ref="BF18:BF27" si="26">SUM(BA18:BE18)</f>
        <v>21</v>
      </c>
      <c r="BG18" s="252"/>
      <c r="BH18" s="265"/>
      <c r="BI18" s="266"/>
      <c r="BJ18" s="254"/>
      <c r="BK18" s="254"/>
    </row>
    <row r="19" spans="1:63" ht="16.2" thickBot="1" x14ac:dyDescent="0.4">
      <c r="A19" s="255" t="s">
        <v>6</v>
      </c>
      <c r="B19" s="292">
        <v>32</v>
      </c>
      <c r="C19" s="256">
        <v>21</v>
      </c>
      <c r="D19" s="256">
        <v>85</v>
      </c>
      <c r="E19" s="256">
        <v>49</v>
      </c>
      <c r="F19" s="258">
        <v>25</v>
      </c>
      <c r="G19" s="259">
        <f t="shared" si="19"/>
        <v>212</v>
      </c>
      <c r="H19" s="260">
        <v>0</v>
      </c>
      <c r="I19" s="256">
        <v>0</v>
      </c>
      <c r="J19" s="256">
        <v>0</v>
      </c>
      <c r="K19" s="256">
        <v>0</v>
      </c>
      <c r="L19" s="256">
        <v>0</v>
      </c>
      <c r="M19" s="256">
        <v>0</v>
      </c>
      <c r="N19" s="256">
        <v>0</v>
      </c>
      <c r="O19" s="256">
        <v>0</v>
      </c>
      <c r="P19" s="256">
        <v>0</v>
      </c>
      <c r="Q19" s="258">
        <v>0</v>
      </c>
      <c r="R19" s="256">
        <f t="shared" si="20"/>
        <v>0</v>
      </c>
      <c r="S19" s="258">
        <f t="shared" si="21"/>
        <v>0</v>
      </c>
      <c r="T19" s="261">
        <f t="shared" si="16"/>
        <v>0</v>
      </c>
      <c r="U19" s="260">
        <v>0</v>
      </c>
      <c r="V19" s="256">
        <v>0</v>
      </c>
      <c r="W19" s="256">
        <v>0</v>
      </c>
      <c r="X19" s="256">
        <v>0</v>
      </c>
      <c r="Y19" s="256">
        <v>0</v>
      </c>
      <c r="Z19" s="256">
        <v>1</v>
      </c>
      <c r="AA19" s="256">
        <v>0</v>
      </c>
      <c r="AB19" s="256">
        <v>0</v>
      </c>
      <c r="AC19" s="256">
        <v>0</v>
      </c>
      <c r="AD19" s="256">
        <v>0</v>
      </c>
      <c r="AE19" s="256">
        <f t="shared" si="22"/>
        <v>0</v>
      </c>
      <c r="AF19" s="256">
        <f t="shared" si="23"/>
        <v>1</v>
      </c>
      <c r="AG19" s="261">
        <f t="shared" si="17"/>
        <v>0.47169811320754718</v>
      </c>
      <c r="AH19" s="256">
        <v>0</v>
      </c>
      <c r="AI19" s="256">
        <v>0</v>
      </c>
      <c r="AJ19" s="256">
        <v>0</v>
      </c>
      <c r="AK19" s="256">
        <v>0</v>
      </c>
      <c r="AL19" s="256">
        <v>0</v>
      </c>
      <c r="AM19" s="256">
        <f>SUM(AH19:AL19)</f>
        <v>0</v>
      </c>
      <c r="AN19" s="261">
        <f t="shared" si="18"/>
        <v>0</v>
      </c>
      <c r="AO19" s="256">
        <v>0</v>
      </c>
      <c r="AP19" s="256">
        <v>0</v>
      </c>
      <c r="AQ19" s="256">
        <v>0</v>
      </c>
      <c r="AR19" s="256">
        <v>0</v>
      </c>
      <c r="AS19" s="256">
        <v>1</v>
      </c>
      <c r="AT19" s="256">
        <f t="shared" si="24"/>
        <v>1</v>
      </c>
      <c r="AU19" s="263">
        <v>0</v>
      </c>
      <c r="AV19" s="263">
        <v>0</v>
      </c>
      <c r="AW19" s="263">
        <v>0</v>
      </c>
      <c r="AX19" s="263">
        <v>0</v>
      </c>
      <c r="AY19" s="263">
        <v>0</v>
      </c>
      <c r="AZ19" s="256">
        <f t="shared" si="25"/>
        <v>0</v>
      </c>
      <c r="BA19" s="263">
        <v>0</v>
      </c>
      <c r="BB19" s="263">
        <v>0</v>
      </c>
      <c r="BC19" s="263">
        <v>1</v>
      </c>
      <c r="BD19" s="263">
        <v>0</v>
      </c>
      <c r="BE19" s="263">
        <v>0</v>
      </c>
      <c r="BF19" s="256">
        <f t="shared" si="26"/>
        <v>1</v>
      </c>
      <c r="BG19" s="252"/>
      <c r="BH19" s="265"/>
      <c r="BI19" s="266"/>
      <c r="BJ19" s="254"/>
      <c r="BK19" s="254"/>
    </row>
    <row r="20" spans="1:63" ht="16.2" thickBot="1" x14ac:dyDescent="0.4">
      <c r="A20" s="255" t="s">
        <v>7</v>
      </c>
      <c r="B20" s="256">
        <v>13</v>
      </c>
      <c r="C20" s="256">
        <v>4</v>
      </c>
      <c r="D20" s="256">
        <v>32</v>
      </c>
      <c r="E20" s="256">
        <v>9</v>
      </c>
      <c r="F20" s="258">
        <v>14</v>
      </c>
      <c r="G20" s="259">
        <f t="shared" si="19"/>
        <v>72</v>
      </c>
      <c r="H20" s="260">
        <v>0</v>
      </c>
      <c r="I20" s="256">
        <v>0</v>
      </c>
      <c r="J20" s="256">
        <v>0</v>
      </c>
      <c r="K20" s="256">
        <v>0</v>
      </c>
      <c r="L20" s="256">
        <v>0</v>
      </c>
      <c r="M20" s="256">
        <v>0</v>
      </c>
      <c r="N20" s="256">
        <v>0</v>
      </c>
      <c r="O20" s="256">
        <v>0</v>
      </c>
      <c r="P20" s="256">
        <v>0</v>
      </c>
      <c r="Q20" s="258">
        <v>0</v>
      </c>
      <c r="R20" s="256">
        <f t="shared" si="20"/>
        <v>0</v>
      </c>
      <c r="S20" s="258">
        <f t="shared" si="21"/>
        <v>0</v>
      </c>
      <c r="T20" s="261">
        <f t="shared" si="16"/>
        <v>0</v>
      </c>
      <c r="U20" s="260">
        <v>0</v>
      </c>
      <c r="V20" s="256">
        <v>0</v>
      </c>
      <c r="W20" s="256">
        <v>0</v>
      </c>
      <c r="X20" s="256">
        <v>0</v>
      </c>
      <c r="Y20" s="256">
        <v>0</v>
      </c>
      <c r="Z20" s="256">
        <v>0</v>
      </c>
      <c r="AA20" s="256">
        <v>0</v>
      </c>
      <c r="AB20" s="256">
        <v>0</v>
      </c>
      <c r="AC20" s="256">
        <v>0</v>
      </c>
      <c r="AD20" s="256">
        <v>0</v>
      </c>
      <c r="AE20" s="256">
        <f t="shared" si="22"/>
        <v>0</v>
      </c>
      <c r="AF20" s="256">
        <f t="shared" si="23"/>
        <v>0</v>
      </c>
      <c r="AG20" s="261">
        <f t="shared" si="17"/>
        <v>0</v>
      </c>
      <c r="AH20" s="256">
        <v>1</v>
      </c>
      <c r="AI20" s="256">
        <v>0</v>
      </c>
      <c r="AJ20" s="256">
        <v>0</v>
      </c>
      <c r="AK20" s="256">
        <v>0</v>
      </c>
      <c r="AL20" s="256">
        <v>0</v>
      </c>
      <c r="AM20" s="263">
        <f t="shared" ref="AM20:AM23" si="27">SUM(AH20:AL20)</f>
        <v>1</v>
      </c>
      <c r="AN20" s="261">
        <f t="shared" si="18"/>
        <v>1.3888888888888888</v>
      </c>
      <c r="AO20" s="256">
        <v>0</v>
      </c>
      <c r="AP20" s="256">
        <v>0</v>
      </c>
      <c r="AQ20" s="256">
        <v>0</v>
      </c>
      <c r="AR20" s="256">
        <v>0</v>
      </c>
      <c r="AS20" s="256">
        <v>0</v>
      </c>
      <c r="AT20" s="256">
        <f t="shared" si="24"/>
        <v>0</v>
      </c>
      <c r="AU20" s="263">
        <v>0</v>
      </c>
      <c r="AV20" s="263">
        <v>0</v>
      </c>
      <c r="AW20" s="263">
        <v>0</v>
      </c>
      <c r="AX20" s="263">
        <v>0</v>
      </c>
      <c r="AY20" s="263">
        <v>0</v>
      </c>
      <c r="AZ20" s="256">
        <f t="shared" si="25"/>
        <v>0</v>
      </c>
      <c r="BA20" s="263">
        <v>0</v>
      </c>
      <c r="BB20" s="263">
        <v>1</v>
      </c>
      <c r="BC20" s="263">
        <v>0</v>
      </c>
      <c r="BD20" s="263">
        <v>0</v>
      </c>
      <c r="BE20" s="263">
        <v>0</v>
      </c>
      <c r="BF20" s="256">
        <f t="shared" si="26"/>
        <v>1</v>
      </c>
      <c r="BG20" s="252"/>
      <c r="BH20" s="265"/>
      <c r="BI20" s="266"/>
      <c r="BJ20" s="254"/>
      <c r="BK20" s="254"/>
    </row>
    <row r="21" spans="1:63" ht="16.2" thickBot="1" x14ac:dyDescent="0.4">
      <c r="A21" s="255" t="s">
        <v>8</v>
      </c>
      <c r="B21" s="256">
        <v>5</v>
      </c>
      <c r="C21" s="256">
        <v>3</v>
      </c>
      <c r="D21" s="256">
        <v>7</v>
      </c>
      <c r="E21" s="256">
        <v>5</v>
      </c>
      <c r="F21" s="258">
        <v>5</v>
      </c>
      <c r="G21" s="259">
        <f t="shared" si="19"/>
        <v>25</v>
      </c>
      <c r="H21" s="260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0</v>
      </c>
      <c r="P21" s="256">
        <v>0</v>
      </c>
      <c r="Q21" s="258">
        <v>0</v>
      </c>
      <c r="R21" s="256">
        <f t="shared" si="20"/>
        <v>0</v>
      </c>
      <c r="S21" s="258">
        <f t="shared" si="21"/>
        <v>0</v>
      </c>
      <c r="T21" s="261">
        <f t="shared" si="16"/>
        <v>0</v>
      </c>
      <c r="U21" s="260">
        <v>0</v>
      </c>
      <c r="V21" s="256">
        <v>0</v>
      </c>
      <c r="W21" s="256">
        <v>0</v>
      </c>
      <c r="X21" s="256">
        <v>0</v>
      </c>
      <c r="Y21" s="256">
        <v>0</v>
      </c>
      <c r="Z21" s="256">
        <v>0</v>
      </c>
      <c r="AA21" s="256">
        <v>0</v>
      </c>
      <c r="AB21" s="256">
        <v>0</v>
      </c>
      <c r="AC21" s="256">
        <v>0</v>
      </c>
      <c r="AD21" s="256">
        <v>0</v>
      </c>
      <c r="AE21" s="256">
        <f t="shared" si="22"/>
        <v>0</v>
      </c>
      <c r="AF21" s="256">
        <f t="shared" si="23"/>
        <v>0</v>
      </c>
      <c r="AG21" s="261">
        <f t="shared" si="17"/>
        <v>0</v>
      </c>
      <c r="AH21" s="256">
        <v>0</v>
      </c>
      <c r="AI21" s="256">
        <v>0</v>
      </c>
      <c r="AJ21" s="256">
        <v>0</v>
      </c>
      <c r="AK21" s="256">
        <v>0</v>
      </c>
      <c r="AL21" s="256">
        <v>0</v>
      </c>
      <c r="AM21" s="256">
        <f>SUM(AH21:AL21)</f>
        <v>0</v>
      </c>
      <c r="AN21" s="261">
        <f t="shared" si="18"/>
        <v>0</v>
      </c>
      <c r="AO21" s="256">
        <v>0</v>
      </c>
      <c r="AP21" s="256">
        <v>0</v>
      </c>
      <c r="AQ21" s="256">
        <v>0</v>
      </c>
      <c r="AR21" s="256">
        <v>0</v>
      </c>
      <c r="AS21" s="256">
        <v>0</v>
      </c>
      <c r="AT21" s="256">
        <f t="shared" si="24"/>
        <v>0</v>
      </c>
      <c r="AU21" s="263">
        <v>0</v>
      </c>
      <c r="AV21" s="263">
        <v>0</v>
      </c>
      <c r="AW21" s="263">
        <v>0</v>
      </c>
      <c r="AX21" s="263">
        <v>0</v>
      </c>
      <c r="AY21" s="263">
        <v>0</v>
      </c>
      <c r="AZ21" s="256">
        <f t="shared" si="25"/>
        <v>0</v>
      </c>
      <c r="BA21" s="263">
        <v>0</v>
      </c>
      <c r="BB21" s="263">
        <v>0</v>
      </c>
      <c r="BC21" s="263">
        <v>0</v>
      </c>
      <c r="BD21" s="263">
        <v>0</v>
      </c>
      <c r="BE21" s="263">
        <v>0</v>
      </c>
      <c r="BF21" s="256">
        <f t="shared" si="26"/>
        <v>0</v>
      </c>
      <c r="BG21" s="252"/>
      <c r="BH21" s="265"/>
      <c r="BI21" s="266"/>
      <c r="BJ21" s="254"/>
      <c r="BK21" s="254"/>
    </row>
    <row r="22" spans="1:63" ht="16.2" thickBot="1" x14ac:dyDescent="0.4">
      <c r="A22" s="255" t="s">
        <v>9</v>
      </c>
      <c r="B22" s="256">
        <v>12</v>
      </c>
      <c r="C22" s="256">
        <v>4</v>
      </c>
      <c r="D22" s="256">
        <v>16</v>
      </c>
      <c r="E22" s="256">
        <v>7</v>
      </c>
      <c r="F22" s="258">
        <v>7</v>
      </c>
      <c r="G22" s="259">
        <f t="shared" si="19"/>
        <v>46</v>
      </c>
      <c r="H22" s="260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8">
        <v>0</v>
      </c>
      <c r="R22" s="256">
        <f t="shared" si="20"/>
        <v>0</v>
      </c>
      <c r="S22" s="258">
        <f t="shared" si="21"/>
        <v>0</v>
      </c>
      <c r="T22" s="261">
        <f t="shared" si="16"/>
        <v>0</v>
      </c>
      <c r="U22" s="260">
        <v>0</v>
      </c>
      <c r="V22" s="256">
        <v>0</v>
      </c>
      <c r="W22" s="256">
        <v>0</v>
      </c>
      <c r="X22" s="256">
        <v>0</v>
      </c>
      <c r="Y22" s="256">
        <v>0</v>
      </c>
      <c r="Z22" s="256">
        <v>0</v>
      </c>
      <c r="AA22" s="256">
        <v>0</v>
      </c>
      <c r="AB22" s="256">
        <v>0</v>
      </c>
      <c r="AC22" s="256">
        <v>0</v>
      </c>
      <c r="AD22" s="256">
        <v>0</v>
      </c>
      <c r="AE22" s="256">
        <f t="shared" si="22"/>
        <v>0</v>
      </c>
      <c r="AF22" s="256">
        <f t="shared" si="23"/>
        <v>0</v>
      </c>
      <c r="AG22" s="261">
        <f t="shared" si="17"/>
        <v>0</v>
      </c>
      <c r="AH22" s="256">
        <v>0</v>
      </c>
      <c r="AI22" s="256">
        <v>0</v>
      </c>
      <c r="AJ22" s="256">
        <v>0</v>
      </c>
      <c r="AK22" s="256">
        <v>0</v>
      </c>
      <c r="AL22" s="256">
        <v>0</v>
      </c>
      <c r="AM22" s="263">
        <f t="shared" si="27"/>
        <v>0</v>
      </c>
      <c r="AN22" s="261">
        <f t="shared" si="18"/>
        <v>0</v>
      </c>
      <c r="AO22" s="256">
        <v>0</v>
      </c>
      <c r="AP22" s="256">
        <v>0</v>
      </c>
      <c r="AQ22" s="256">
        <v>0</v>
      </c>
      <c r="AR22" s="256">
        <v>0</v>
      </c>
      <c r="AS22" s="256">
        <v>0</v>
      </c>
      <c r="AT22" s="256">
        <f t="shared" si="24"/>
        <v>0</v>
      </c>
      <c r="AU22" s="263">
        <v>0</v>
      </c>
      <c r="AV22" s="263">
        <v>0</v>
      </c>
      <c r="AW22" s="263">
        <v>0</v>
      </c>
      <c r="AX22" s="263">
        <v>0</v>
      </c>
      <c r="AY22" s="263">
        <v>0</v>
      </c>
      <c r="AZ22" s="256">
        <f t="shared" si="25"/>
        <v>0</v>
      </c>
      <c r="BA22" s="263">
        <v>0</v>
      </c>
      <c r="BB22" s="263">
        <v>0</v>
      </c>
      <c r="BC22" s="263">
        <v>0</v>
      </c>
      <c r="BD22" s="263">
        <v>0</v>
      </c>
      <c r="BE22" s="263">
        <v>0</v>
      </c>
      <c r="BF22" s="256">
        <f t="shared" si="26"/>
        <v>0</v>
      </c>
      <c r="BG22" s="252"/>
      <c r="BH22" s="265"/>
      <c r="BI22" s="266"/>
      <c r="BJ22" s="254"/>
      <c r="BK22" s="254"/>
    </row>
    <row r="23" spans="1:63" ht="16.2" thickBot="1" x14ac:dyDescent="0.4">
      <c r="A23" s="255" t="s">
        <v>10</v>
      </c>
      <c r="B23" s="256">
        <v>5</v>
      </c>
      <c r="C23" s="256">
        <v>2</v>
      </c>
      <c r="D23" s="256">
        <v>6</v>
      </c>
      <c r="E23" s="256">
        <v>10</v>
      </c>
      <c r="F23" s="258">
        <v>5</v>
      </c>
      <c r="G23" s="259">
        <f t="shared" si="19"/>
        <v>28</v>
      </c>
      <c r="H23" s="260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8">
        <v>0</v>
      </c>
      <c r="R23" s="256">
        <f t="shared" si="20"/>
        <v>0</v>
      </c>
      <c r="S23" s="258">
        <f t="shared" si="21"/>
        <v>0</v>
      </c>
      <c r="T23" s="261">
        <f t="shared" si="16"/>
        <v>0</v>
      </c>
      <c r="U23" s="260">
        <v>0</v>
      </c>
      <c r="V23" s="256">
        <v>0</v>
      </c>
      <c r="W23" s="256">
        <v>0</v>
      </c>
      <c r="X23" s="256">
        <v>0</v>
      </c>
      <c r="Y23" s="256">
        <v>0</v>
      </c>
      <c r="Z23" s="256">
        <v>0</v>
      </c>
      <c r="AA23" s="256">
        <v>0</v>
      </c>
      <c r="AB23" s="256">
        <v>0</v>
      </c>
      <c r="AC23" s="256">
        <v>0</v>
      </c>
      <c r="AD23" s="256">
        <v>0</v>
      </c>
      <c r="AE23" s="256">
        <f t="shared" si="22"/>
        <v>0</v>
      </c>
      <c r="AF23" s="256">
        <f t="shared" si="23"/>
        <v>0</v>
      </c>
      <c r="AG23" s="261">
        <f t="shared" si="17"/>
        <v>0</v>
      </c>
      <c r="AH23" s="256">
        <v>0</v>
      </c>
      <c r="AI23" s="256">
        <v>0</v>
      </c>
      <c r="AJ23" s="256">
        <v>0</v>
      </c>
      <c r="AK23" s="256">
        <v>0</v>
      </c>
      <c r="AL23" s="256">
        <v>0</v>
      </c>
      <c r="AM23" s="263">
        <f t="shared" si="27"/>
        <v>0</v>
      </c>
      <c r="AN23" s="261">
        <f t="shared" si="18"/>
        <v>0</v>
      </c>
      <c r="AO23" s="256">
        <v>0</v>
      </c>
      <c r="AP23" s="256">
        <v>0</v>
      </c>
      <c r="AQ23" s="256">
        <v>0</v>
      </c>
      <c r="AR23" s="256">
        <v>0</v>
      </c>
      <c r="AS23" s="256">
        <v>0</v>
      </c>
      <c r="AT23" s="256">
        <f t="shared" si="24"/>
        <v>0</v>
      </c>
      <c r="AU23" s="263">
        <v>0</v>
      </c>
      <c r="AV23" s="263">
        <v>0</v>
      </c>
      <c r="AW23" s="263">
        <v>0</v>
      </c>
      <c r="AX23" s="263">
        <v>0</v>
      </c>
      <c r="AY23" s="263">
        <v>0</v>
      </c>
      <c r="AZ23" s="256">
        <f t="shared" si="25"/>
        <v>0</v>
      </c>
      <c r="BA23" s="263">
        <v>0</v>
      </c>
      <c r="BB23" s="263">
        <v>0</v>
      </c>
      <c r="BC23" s="263">
        <v>0</v>
      </c>
      <c r="BD23" s="263">
        <v>0</v>
      </c>
      <c r="BE23" s="263">
        <v>0</v>
      </c>
      <c r="BF23" s="256">
        <f t="shared" si="26"/>
        <v>0</v>
      </c>
      <c r="BG23" s="252"/>
      <c r="BH23" s="265"/>
      <c r="BI23" s="266"/>
      <c r="BJ23" s="254"/>
      <c r="BK23" s="254"/>
    </row>
    <row r="24" spans="1:63" ht="16.2" thickBot="1" x14ac:dyDescent="0.4">
      <c r="A24" s="255" t="s">
        <v>11</v>
      </c>
      <c r="B24" s="256">
        <v>103</v>
      </c>
      <c r="C24" s="256">
        <v>20</v>
      </c>
      <c r="D24" s="256">
        <v>159</v>
      </c>
      <c r="E24" s="256">
        <v>146</v>
      </c>
      <c r="F24" s="258">
        <v>54</v>
      </c>
      <c r="G24" s="259">
        <f t="shared" si="19"/>
        <v>482</v>
      </c>
      <c r="H24" s="260">
        <v>0</v>
      </c>
      <c r="I24" s="256">
        <v>0</v>
      </c>
      <c r="J24" s="256">
        <v>0</v>
      </c>
      <c r="K24" s="256">
        <v>0</v>
      </c>
      <c r="L24" s="256">
        <v>0</v>
      </c>
      <c r="M24" s="256">
        <v>1</v>
      </c>
      <c r="N24" s="256">
        <v>0</v>
      </c>
      <c r="O24" s="256">
        <v>0</v>
      </c>
      <c r="P24" s="256">
        <v>1</v>
      </c>
      <c r="Q24" s="258">
        <v>0</v>
      </c>
      <c r="R24" s="256">
        <f t="shared" si="20"/>
        <v>1</v>
      </c>
      <c r="S24" s="258">
        <f t="shared" si="21"/>
        <v>1</v>
      </c>
      <c r="T24" s="261">
        <f t="shared" si="16"/>
        <v>0.41493775933609961</v>
      </c>
      <c r="U24" s="260">
        <v>0</v>
      </c>
      <c r="V24" s="256">
        <v>0</v>
      </c>
      <c r="W24" s="256">
        <v>0</v>
      </c>
      <c r="X24" s="256">
        <v>0</v>
      </c>
      <c r="Y24" s="256">
        <v>0</v>
      </c>
      <c r="Z24" s="256">
        <v>0</v>
      </c>
      <c r="AA24" s="256">
        <v>0</v>
      </c>
      <c r="AB24" s="256">
        <v>1</v>
      </c>
      <c r="AC24" s="256">
        <v>1</v>
      </c>
      <c r="AD24" s="256">
        <v>2</v>
      </c>
      <c r="AE24" s="256">
        <f t="shared" si="22"/>
        <v>1</v>
      </c>
      <c r="AF24" s="256">
        <f t="shared" si="23"/>
        <v>3</v>
      </c>
      <c r="AG24" s="261">
        <f t="shared" si="17"/>
        <v>0.82987551867219922</v>
      </c>
      <c r="AH24" s="256">
        <v>0</v>
      </c>
      <c r="AI24" s="256">
        <v>0</v>
      </c>
      <c r="AJ24" s="256">
        <v>0</v>
      </c>
      <c r="AK24" s="256">
        <v>1</v>
      </c>
      <c r="AL24" s="256">
        <v>0</v>
      </c>
      <c r="AM24" s="256">
        <f>SUM(AH24:AL24)</f>
        <v>1</v>
      </c>
      <c r="AN24" s="261">
        <f t="shared" si="18"/>
        <v>0.2074688796680498</v>
      </c>
      <c r="AO24" s="256">
        <v>0</v>
      </c>
      <c r="AP24" s="256">
        <v>0</v>
      </c>
      <c r="AQ24" s="256">
        <v>0</v>
      </c>
      <c r="AR24" s="256">
        <v>0</v>
      </c>
      <c r="AS24" s="256">
        <v>0</v>
      </c>
      <c r="AT24" s="256">
        <f t="shared" si="24"/>
        <v>0</v>
      </c>
      <c r="AU24" s="263">
        <v>0</v>
      </c>
      <c r="AV24" s="263">
        <v>0</v>
      </c>
      <c r="AW24" s="263">
        <v>1</v>
      </c>
      <c r="AX24" s="263">
        <v>1</v>
      </c>
      <c r="AY24" s="263">
        <v>0</v>
      </c>
      <c r="AZ24" s="256">
        <f t="shared" si="25"/>
        <v>2</v>
      </c>
      <c r="BA24" s="263">
        <v>1</v>
      </c>
      <c r="BB24" s="263">
        <v>0</v>
      </c>
      <c r="BC24" s="263">
        <v>0</v>
      </c>
      <c r="BD24" s="263">
        <v>1</v>
      </c>
      <c r="BE24" s="263">
        <v>2</v>
      </c>
      <c r="BF24" s="256">
        <f t="shared" si="26"/>
        <v>4</v>
      </c>
      <c r="BG24" s="252"/>
      <c r="BH24" s="265"/>
      <c r="BI24" s="266"/>
      <c r="BJ24" s="254"/>
      <c r="BK24" s="254"/>
    </row>
    <row r="25" spans="1:63" ht="16.2" thickBot="1" x14ac:dyDescent="0.4">
      <c r="A25" s="255" t="s">
        <v>12</v>
      </c>
      <c r="B25" s="256">
        <v>673</v>
      </c>
      <c r="C25" s="256">
        <v>354</v>
      </c>
      <c r="D25" s="256">
        <v>1341</v>
      </c>
      <c r="E25" s="256">
        <v>1080</v>
      </c>
      <c r="F25" s="258">
        <v>535</v>
      </c>
      <c r="G25" s="259">
        <f t="shared" si="19"/>
        <v>3983</v>
      </c>
      <c r="H25" s="260">
        <v>2</v>
      </c>
      <c r="I25" s="256">
        <v>1</v>
      </c>
      <c r="J25" s="256">
        <v>0</v>
      </c>
      <c r="K25" s="256">
        <v>2</v>
      </c>
      <c r="L25" s="256">
        <v>7</v>
      </c>
      <c r="M25" s="256">
        <v>4</v>
      </c>
      <c r="N25" s="256">
        <v>0</v>
      </c>
      <c r="O25" s="256">
        <v>0</v>
      </c>
      <c r="P25" s="256">
        <v>0</v>
      </c>
      <c r="Q25" s="258">
        <v>1</v>
      </c>
      <c r="R25" s="256">
        <f t="shared" si="20"/>
        <v>9</v>
      </c>
      <c r="S25" s="258">
        <f t="shared" si="21"/>
        <v>8</v>
      </c>
      <c r="T25" s="261">
        <f t="shared" si="16"/>
        <v>0.42681395932714034</v>
      </c>
      <c r="U25" s="260">
        <v>0</v>
      </c>
      <c r="V25" s="256">
        <v>3</v>
      </c>
      <c r="W25" s="256">
        <v>1</v>
      </c>
      <c r="X25" s="256">
        <v>2</v>
      </c>
      <c r="Y25" s="256">
        <v>2</v>
      </c>
      <c r="Z25" s="256">
        <v>8</v>
      </c>
      <c r="AA25" s="256">
        <v>0</v>
      </c>
      <c r="AB25" s="256">
        <v>2</v>
      </c>
      <c r="AC25" s="256">
        <v>0</v>
      </c>
      <c r="AD25" s="256">
        <v>2</v>
      </c>
      <c r="AE25" s="256">
        <f t="shared" si="22"/>
        <v>3</v>
      </c>
      <c r="AF25" s="256">
        <f t="shared" si="23"/>
        <v>17</v>
      </c>
      <c r="AG25" s="261">
        <f t="shared" si="17"/>
        <v>0.50213406979663566</v>
      </c>
      <c r="AH25" s="256">
        <v>4</v>
      </c>
      <c r="AI25" s="256">
        <v>3</v>
      </c>
      <c r="AJ25" s="256">
        <v>3</v>
      </c>
      <c r="AK25" s="256">
        <v>0</v>
      </c>
      <c r="AL25" s="256">
        <v>3</v>
      </c>
      <c r="AM25" s="256">
        <f>SUM(AH25:AL25)</f>
        <v>13</v>
      </c>
      <c r="AN25" s="261">
        <f t="shared" si="18"/>
        <v>0.32638714536781321</v>
      </c>
      <c r="AO25" s="256">
        <v>1</v>
      </c>
      <c r="AP25" s="256">
        <v>3</v>
      </c>
      <c r="AQ25" s="256">
        <v>3</v>
      </c>
      <c r="AR25" s="256">
        <v>1</v>
      </c>
      <c r="AS25" s="256">
        <v>0</v>
      </c>
      <c r="AT25" s="256">
        <f t="shared" si="24"/>
        <v>8</v>
      </c>
      <c r="AU25" s="263">
        <v>0</v>
      </c>
      <c r="AV25" s="263">
        <v>0</v>
      </c>
      <c r="AW25" s="263">
        <v>9</v>
      </c>
      <c r="AX25" s="263">
        <v>0</v>
      </c>
      <c r="AY25" s="263">
        <v>0</v>
      </c>
      <c r="AZ25" s="256">
        <f t="shared" si="25"/>
        <v>9</v>
      </c>
      <c r="BA25" s="263">
        <v>17</v>
      </c>
      <c r="BB25" s="263">
        <v>8</v>
      </c>
      <c r="BC25" s="263">
        <v>17</v>
      </c>
      <c r="BD25" s="263">
        <v>7</v>
      </c>
      <c r="BE25" s="263">
        <v>7</v>
      </c>
      <c r="BF25" s="256">
        <f t="shared" si="26"/>
        <v>56</v>
      </c>
      <c r="BG25" s="252"/>
      <c r="BH25" s="265"/>
      <c r="BI25" s="266"/>
      <c r="BJ25" s="254"/>
      <c r="BK25" s="254"/>
    </row>
    <row r="26" spans="1:63" ht="16.2" thickBot="1" x14ac:dyDescent="0.4">
      <c r="A26" s="255" t="s">
        <v>13</v>
      </c>
      <c r="B26" s="256">
        <v>6</v>
      </c>
      <c r="C26" s="256">
        <v>5</v>
      </c>
      <c r="D26" s="256">
        <v>53</v>
      </c>
      <c r="E26" s="256">
        <v>1</v>
      </c>
      <c r="F26" s="258">
        <v>5</v>
      </c>
      <c r="G26" s="259">
        <f t="shared" si="19"/>
        <v>70</v>
      </c>
      <c r="H26" s="260">
        <v>0</v>
      </c>
      <c r="I26" s="256">
        <v>0</v>
      </c>
      <c r="J26" s="256">
        <v>0</v>
      </c>
      <c r="K26" s="256">
        <v>1</v>
      </c>
      <c r="L26" s="256">
        <v>0</v>
      </c>
      <c r="M26" s="256">
        <v>0</v>
      </c>
      <c r="N26" s="256">
        <v>0</v>
      </c>
      <c r="O26" s="256">
        <v>0</v>
      </c>
      <c r="P26" s="256">
        <v>0</v>
      </c>
      <c r="Q26" s="258">
        <v>0</v>
      </c>
      <c r="R26" s="256">
        <f t="shared" si="20"/>
        <v>0</v>
      </c>
      <c r="S26" s="258">
        <f t="shared" si="21"/>
        <v>1</v>
      </c>
      <c r="T26" s="261">
        <f t="shared" si="16"/>
        <v>1.4285714285714286</v>
      </c>
      <c r="U26" s="260">
        <v>0</v>
      </c>
      <c r="V26" s="256">
        <v>0</v>
      </c>
      <c r="W26" s="256">
        <v>0</v>
      </c>
      <c r="X26" s="256">
        <v>0</v>
      </c>
      <c r="Y26" s="256">
        <v>0</v>
      </c>
      <c r="Z26" s="256">
        <v>0</v>
      </c>
      <c r="AA26" s="256">
        <v>0</v>
      </c>
      <c r="AB26" s="256">
        <v>0</v>
      </c>
      <c r="AC26" s="256">
        <v>0</v>
      </c>
      <c r="AD26" s="256">
        <v>0</v>
      </c>
      <c r="AE26" s="256">
        <f t="shared" si="22"/>
        <v>0</v>
      </c>
      <c r="AF26" s="256">
        <f t="shared" si="23"/>
        <v>0</v>
      </c>
      <c r="AG26" s="261">
        <f t="shared" si="17"/>
        <v>0</v>
      </c>
      <c r="AH26" s="256">
        <v>0</v>
      </c>
      <c r="AI26" s="256">
        <v>0</v>
      </c>
      <c r="AJ26" s="256">
        <v>0</v>
      </c>
      <c r="AK26" s="256">
        <v>0</v>
      </c>
      <c r="AL26" s="256">
        <v>0</v>
      </c>
      <c r="AM26" s="256">
        <f>SUM(AH26:AL26)</f>
        <v>0</v>
      </c>
      <c r="AN26" s="261">
        <f t="shared" si="18"/>
        <v>0</v>
      </c>
      <c r="AO26" s="256">
        <v>0</v>
      </c>
      <c r="AP26" s="256">
        <v>0</v>
      </c>
      <c r="AQ26" s="256">
        <v>0</v>
      </c>
      <c r="AR26" s="256">
        <v>0</v>
      </c>
      <c r="AS26" s="256">
        <v>1</v>
      </c>
      <c r="AT26" s="256">
        <f t="shared" si="24"/>
        <v>1</v>
      </c>
      <c r="AU26" s="263">
        <v>0</v>
      </c>
      <c r="AV26" s="263">
        <v>0</v>
      </c>
      <c r="AW26" s="263">
        <v>0</v>
      </c>
      <c r="AX26" s="263">
        <v>0</v>
      </c>
      <c r="AY26" s="263">
        <v>0</v>
      </c>
      <c r="AZ26" s="256">
        <f t="shared" si="25"/>
        <v>0</v>
      </c>
      <c r="BA26" s="263">
        <v>0</v>
      </c>
      <c r="BB26" s="263">
        <v>0</v>
      </c>
      <c r="BC26" s="263">
        <v>5</v>
      </c>
      <c r="BD26" s="263">
        <v>0</v>
      </c>
      <c r="BE26" s="263">
        <v>0</v>
      </c>
      <c r="BF26" s="256">
        <f t="shared" si="26"/>
        <v>5</v>
      </c>
      <c r="BG26" s="252"/>
      <c r="BH26" s="265"/>
      <c r="BI26" s="266"/>
      <c r="BJ26" s="254"/>
      <c r="BK26" s="254"/>
    </row>
    <row r="27" spans="1:63" ht="27" thickBot="1" x14ac:dyDescent="0.4">
      <c r="A27" s="268" t="s">
        <v>23</v>
      </c>
      <c r="B27" s="293">
        <v>412</v>
      </c>
      <c r="C27" s="293">
        <v>192</v>
      </c>
      <c r="D27" s="256">
        <v>566</v>
      </c>
      <c r="E27" s="293">
        <v>628</v>
      </c>
      <c r="F27" s="258">
        <v>199</v>
      </c>
      <c r="G27" s="259">
        <f t="shared" si="19"/>
        <v>1997</v>
      </c>
      <c r="H27" s="294">
        <v>1</v>
      </c>
      <c r="I27" s="293">
        <v>0</v>
      </c>
      <c r="J27" s="256">
        <v>0</v>
      </c>
      <c r="K27" s="256">
        <v>12</v>
      </c>
      <c r="L27" s="256">
        <v>0</v>
      </c>
      <c r="M27" s="256">
        <v>0</v>
      </c>
      <c r="N27" s="256">
        <v>0</v>
      </c>
      <c r="O27" s="256">
        <v>7</v>
      </c>
      <c r="P27" s="256">
        <v>0</v>
      </c>
      <c r="Q27" s="258">
        <v>0</v>
      </c>
      <c r="R27" s="256">
        <f t="shared" si="20"/>
        <v>1</v>
      </c>
      <c r="S27" s="258">
        <f t="shared" si="21"/>
        <v>19</v>
      </c>
      <c r="T27" s="261">
        <f t="shared" si="16"/>
        <v>1.0015022533800702</v>
      </c>
      <c r="U27" s="294">
        <v>0</v>
      </c>
      <c r="V27" s="293">
        <v>0</v>
      </c>
      <c r="W27" s="256">
        <v>1</v>
      </c>
      <c r="X27" s="256">
        <v>4</v>
      </c>
      <c r="Y27" s="293">
        <v>2</v>
      </c>
      <c r="Z27" s="293">
        <v>1</v>
      </c>
      <c r="AA27" s="293">
        <v>4</v>
      </c>
      <c r="AB27" s="293">
        <v>6</v>
      </c>
      <c r="AC27" s="256">
        <v>1</v>
      </c>
      <c r="AD27" s="256">
        <v>1</v>
      </c>
      <c r="AE27" s="256">
        <f t="shared" si="22"/>
        <v>8</v>
      </c>
      <c r="AF27" s="256">
        <f t="shared" si="23"/>
        <v>12</v>
      </c>
      <c r="AG27" s="261">
        <f t="shared" si="17"/>
        <v>1.0015022533800702</v>
      </c>
      <c r="AH27" s="293">
        <v>0</v>
      </c>
      <c r="AI27" s="293">
        <v>0</v>
      </c>
      <c r="AJ27" s="293">
        <v>0</v>
      </c>
      <c r="AK27" s="293">
        <v>0</v>
      </c>
      <c r="AL27" s="293">
        <v>0</v>
      </c>
      <c r="AM27" s="256">
        <f>SUM(AH27:AL27)</f>
        <v>0</v>
      </c>
      <c r="AN27" s="261">
        <f t="shared" si="18"/>
        <v>0</v>
      </c>
      <c r="AO27" s="293">
        <v>0</v>
      </c>
      <c r="AP27" s="293">
        <v>1</v>
      </c>
      <c r="AQ27" s="293">
        <v>0</v>
      </c>
      <c r="AR27" s="293">
        <v>0</v>
      </c>
      <c r="AS27" s="293">
        <v>1</v>
      </c>
      <c r="AT27" s="256">
        <f t="shared" si="24"/>
        <v>2</v>
      </c>
      <c r="AU27" s="263">
        <v>0</v>
      </c>
      <c r="AV27" s="263">
        <v>0</v>
      </c>
      <c r="AW27" s="263">
        <v>0</v>
      </c>
      <c r="AX27" s="263">
        <v>2</v>
      </c>
      <c r="AY27" s="263">
        <v>1</v>
      </c>
      <c r="AZ27" s="256">
        <f t="shared" si="25"/>
        <v>3</v>
      </c>
      <c r="BA27" s="263">
        <v>7</v>
      </c>
      <c r="BB27" s="263">
        <v>10</v>
      </c>
      <c r="BC27" s="263">
        <v>5</v>
      </c>
      <c r="BD27" s="263">
        <v>3</v>
      </c>
      <c r="BE27" s="263">
        <v>8</v>
      </c>
      <c r="BF27" s="256">
        <f t="shared" si="26"/>
        <v>33</v>
      </c>
      <c r="BG27" s="252"/>
      <c r="BH27" s="265"/>
      <c r="BI27" s="266"/>
      <c r="BJ27" s="254"/>
      <c r="BK27" s="254"/>
    </row>
    <row r="28" spans="1:63" s="240" customFormat="1" ht="16.2" thickBot="1" x14ac:dyDescent="0.4">
      <c r="A28" s="295" t="s">
        <v>22</v>
      </c>
      <c r="B28" s="274">
        <f t="shared" ref="B28:H28" si="28">SUM(B17:B27)</f>
        <v>1463</v>
      </c>
      <c r="C28" s="274">
        <f t="shared" si="28"/>
        <v>696</v>
      </c>
      <c r="D28" s="274">
        <f t="shared" si="28"/>
        <v>2594</v>
      </c>
      <c r="E28" s="274">
        <f t="shared" si="28"/>
        <v>2370</v>
      </c>
      <c r="F28" s="275">
        <f t="shared" si="28"/>
        <v>981</v>
      </c>
      <c r="G28" s="272">
        <f t="shared" si="28"/>
        <v>8104</v>
      </c>
      <c r="H28" s="273">
        <f t="shared" si="28"/>
        <v>4</v>
      </c>
      <c r="I28" s="274">
        <f t="shared" ref="I28:Q28" si="29">SUM(I17:I27)</f>
        <v>1</v>
      </c>
      <c r="J28" s="274">
        <f t="shared" si="29"/>
        <v>0</v>
      </c>
      <c r="K28" s="274">
        <f t="shared" si="29"/>
        <v>15</v>
      </c>
      <c r="L28" s="274">
        <f t="shared" si="29"/>
        <v>8</v>
      </c>
      <c r="M28" s="274">
        <f t="shared" si="29"/>
        <v>6</v>
      </c>
      <c r="N28" s="274">
        <f t="shared" si="29"/>
        <v>1</v>
      </c>
      <c r="O28" s="274">
        <f t="shared" si="29"/>
        <v>9</v>
      </c>
      <c r="P28" s="274">
        <f t="shared" si="29"/>
        <v>1</v>
      </c>
      <c r="Q28" s="275">
        <f t="shared" si="29"/>
        <v>1</v>
      </c>
      <c r="R28" s="276">
        <f>SUM(R17:R27)</f>
        <v>14</v>
      </c>
      <c r="S28" s="277">
        <f>SUM(S17:S27)</f>
        <v>32</v>
      </c>
      <c r="T28" s="278">
        <f t="shared" si="16"/>
        <v>0.56762092793682128</v>
      </c>
      <c r="U28" s="273">
        <f>SUM(U17:U27)</f>
        <v>0</v>
      </c>
      <c r="V28" s="274">
        <f t="shared" ref="V28:AD28" si="30">SUM(V17:V27)</f>
        <v>3</v>
      </c>
      <c r="W28" s="274">
        <f t="shared" si="30"/>
        <v>2</v>
      </c>
      <c r="X28" s="274">
        <f t="shared" si="30"/>
        <v>6</v>
      </c>
      <c r="Y28" s="274">
        <f t="shared" si="30"/>
        <v>7</v>
      </c>
      <c r="Z28" s="274">
        <f t="shared" si="30"/>
        <v>11</v>
      </c>
      <c r="AA28" s="274">
        <f t="shared" si="30"/>
        <v>5</v>
      </c>
      <c r="AB28" s="274">
        <f t="shared" si="30"/>
        <v>11</v>
      </c>
      <c r="AC28" s="274">
        <f t="shared" si="30"/>
        <v>3</v>
      </c>
      <c r="AD28" s="274">
        <f t="shared" si="30"/>
        <v>5</v>
      </c>
      <c r="AE28" s="276">
        <f>SUM(AE17:AE27)</f>
        <v>17</v>
      </c>
      <c r="AF28" s="276">
        <f>SUM(AF17:AF27)</f>
        <v>36</v>
      </c>
      <c r="AG28" s="278">
        <f t="shared" si="17"/>
        <v>0.65399802566633758</v>
      </c>
      <c r="AH28" s="274">
        <f t="shared" ref="AH28:AM28" si="31">SUM(AH17:AH27)</f>
        <v>6</v>
      </c>
      <c r="AI28" s="274">
        <f t="shared" si="31"/>
        <v>4</v>
      </c>
      <c r="AJ28" s="274">
        <f t="shared" si="31"/>
        <v>4</v>
      </c>
      <c r="AK28" s="274">
        <f t="shared" si="31"/>
        <v>1</v>
      </c>
      <c r="AL28" s="274">
        <f t="shared" si="31"/>
        <v>3</v>
      </c>
      <c r="AM28" s="276">
        <f t="shared" si="31"/>
        <v>18</v>
      </c>
      <c r="AN28" s="278">
        <f t="shared" si="18"/>
        <v>0.22211253701875616</v>
      </c>
      <c r="AO28" s="274">
        <f t="shared" ref="AO28:BF28" si="32">SUM(AO17:AO27)</f>
        <v>1</v>
      </c>
      <c r="AP28" s="274">
        <f t="shared" si="32"/>
        <v>4</v>
      </c>
      <c r="AQ28" s="274">
        <f t="shared" si="32"/>
        <v>3</v>
      </c>
      <c r="AR28" s="274">
        <f t="shared" si="32"/>
        <v>1</v>
      </c>
      <c r="AS28" s="274">
        <f t="shared" si="32"/>
        <v>3</v>
      </c>
      <c r="AT28" s="281">
        <f t="shared" si="32"/>
        <v>12</v>
      </c>
      <c r="AU28" s="274">
        <f t="shared" si="32"/>
        <v>0</v>
      </c>
      <c r="AV28" s="274">
        <f t="shared" si="32"/>
        <v>0</v>
      </c>
      <c r="AW28" s="274">
        <f t="shared" si="32"/>
        <v>11</v>
      </c>
      <c r="AX28" s="274">
        <f t="shared" si="32"/>
        <v>4</v>
      </c>
      <c r="AY28" s="274">
        <f t="shared" si="32"/>
        <v>1</v>
      </c>
      <c r="AZ28" s="281">
        <f t="shared" si="32"/>
        <v>16</v>
      </c>
      <c r="BA28" s="274">
        <f t="shared" si="32"/>
        <v>29</v>
      </c>
      <c r="BB28" s="274">
        <f t="shared" si="32"/>
        <v>25</v>
      </c>
      <c r="BC28" s="274">
        <f t="shared" si="32"/>
        <v>33</v>
      </c>
      <c r="BD28" s="274">
        <f t="shared" si="32"/>
        <v>18</v>
      </c>
      <c r="BE28" s="274">
        <f t="shared" si="32"/>
        <v>17</v>
      </c>
      <c r="BF28" s="281">
        <f t="shared" si="32"/>
        <v>122</v>
      </c>
      <c r="BG28" s="252"/>
      <c r="BH28" s="265"/>
      <c r="BI28" s="266"/>
      <c r="BJ28" s="252"/>
      <c r="BK28" s="252"/>
    </row>
    <row r="29" spans="1:63" ht="16.2" thickBot="1" x14ac:dyDescent="0.4">
      <c r="A29" s="282" t="s">
        <v>171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5">
        <f>R28/$G$28*100</f>
        <v>0.17275419545903259</v>
      </c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78">
        <f>AE28/$G$28*100</f>
        <v>0.20977295162882525</v>
      </c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6"/>
      <c r="AU29" s="286"/>
      <c r="AV29" s="286"/>
      <c r="AW29" s="286"/>
      <c r="AX29" s="286"/>
      <c r="AY29" s="286"/>
      <c r="AZ29" s="204"/>
      <c r="BA29" s="286"/>
      <c r="BB29" s="286"/>
      <c r="BC29" s="286"/>
      <c r="BD29" s="286"/>
      <c r="BE29" s="286"/>
      <c r="BF29" s="286"/>
      <c r="BG29" s="252"/>
      <c r="BH29" s="265"/>
      <c r="BI29" s="266"/>
      <c r="BJ29" s="254"/>
      <c r="BK29" s="254"/>
    </row>
    <row r="30" spans="1:63" ht="15.6" x14ac:dyDescent="0.35">
      <c r="A30" s="248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6"/>
      <c r="AU30" s="286"/>
      <c r="AV30" s="286"/>
      <c r="AW30" s="286"/>
      <c r="AX30" s="286"/>
      <c r="AY30" s="286"/>
      <c r="AZ30" s="204"/>
      <c r="BA30" s="286"/>
      <c r="BB30" s="286"/>
      <c r="BC30" s="286"/>
      <c r="BD30" s="286"/>
      <c r="BE30" s="286"/>
      <c r="BF30" s="286"/>
      <c r="BG30" s="252"/>
      <c r="BH30" s="265"/>
      <c r="BI30" s="266"/>
      <c r="BJ30" s="254"/>
      <c r="BK30" s="254"/>
    </row>
    <row r="31" spans="1:63" ht="16.2" thickBot="1" x14ac:dyDescent="0.4">
      <c r="A31" s="247" t="s">
        <v>50</v>
      </c>
      <c r="B31" s="291"/>
      <c r="C31" s="291"/>
      <c r="D31" s="291"/>
      <c r="E31" s="291"/>
      <c r="F31" s="291"/>
      <c r="G31" s="284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86"/>
      <c r="AU31" s="286"/>
      <c r="AV31" s="286"/>
      <c r="AW31" s="286"/>
      <c r="AX31" s="286"/>
      <c r="AY31" s="286"/>
      <c r="AZ31" s="204"/>
      <c r="BA31" s="286"/>
      <c r="BB31" s="286"/>
      <c r="BC31" s="286"/>
      <c r="BD31" s="286"/>
      <c r="BE31" s="286"/>
      <c r="BF31" s="286"/>
      <c r="BG31" s="252"/>
      <c r="BH31" s="265"/>
      <c r="BI31" s="266"/>
      <c r="BJ31" s="254"/>
      <c r="BK31" s="254"/>
    </row>
    <row r="32" spans="1:63" ht="16.2" thickBot="1" x14ac:dyDescent="0.4">
      <c r="A32" s="296" t="s">
        <v>133</v>
      </c>
      <c r="B32" s="256">
        <v>364</v>
      </c>
      <c r="C32" s="256">
        <v>276</v>
      </c>
      <c r="D32" s="256">
        <v>603</v>
      </c>
      <c r="E32" s="256">
        <f>682-282</f>
        <v>400</v>
      </c>
      <c r="F32" s="258">
        <v>221</v>
      </c>
      <c r="G32" s="259">
        <f>SUM(B32:F32)</f>
        <v>1864</v>
      </c>
      <c r="H32" s="260">
        <v>0</v>
      </c>
      <c r="I32" s="256">
        <v>1</v>
      </c>
      <c r="J32" s="256">
        <v>1</v>
      </c>
      <c r="K32" s="256">
        <v>1</v>
      </c>
      <c r="L32" s="256">
        <v>1</v>
      </c>
      <c r="M32" s="256">
        <v>3</v>
      </c>
      <c r="N32" s="256">
        <v>2</v>
      </c>
      <c r="O32" s="256">
        <v>1</v>
      </c>
      <c r="P32" s="256">
        <v>1</v>
      </c>
      <c r="Q32" s="256">
        <v>0</v>
      </c>
      <c r="R32" s="256">
        <f>H32+J32+L32+N32+P32</f>
        <v>5</v>
      </c>
      <c r="S32" s="256">
        <f>I32+K32+M32+O32+Q32</f>
        <v>6</v>
      </c>
      <c r="T32" s="261">
        <f t="shared" ref="T32:T50" si="33">(R32+S32)*100/G32</f>
        <v>0.59012875536480691</v>
      </c>
      <c r="U32" s="256">
        <v>1</v>
      </c>
      <c r="V32" s="256">
        <v>3</v>
      </c>
      <c r="W32" s="256">
        <v>3</v>
      </c>
      <c r="X32" s="256">
        <v>0</v>
      </c>
      <c r="Y32" s="256">
        <v>0</v>
      </c>
      <c r="Z32" s="256">
        <v>1</v>
      </c>
      <c r="AA32" s="256">
        <v>3</v>
      </c>
      <c r="AB32" s="256">
        <v>4</v>
      </c>
      <c r="AC32" s="256">
        <v>1</v>
      </c>
      <c r="AD32" s="256">
        <v>1</v>
      </c>
      <c r="AE32" s="256">
        <f t="shared" ref="AE32" si="34">U32+W32+Y32+AA32+AC32</f>
        <v>8</v>
      </c>
      <c r="AF32" s="256">
        <f t="shared" ref="AF32" si="35">V32+X32+Z32+AB32+AD32</f>
        <v>9</v>
      </c>
      <c r="AG32" s="261">
        <f t="shared" ref="AG32:AG50" si="36">(AE32+AF32)*100/G32</f>
        <v>0.91201716738197425</v>
      </c>
      <c r="AH32" s="256">
        <v>2</v>
      </c>
      <c r="AI32" s="256">
        <v>1</v>
      </c>
      <c r="AJ32" s="256">
        <v>0</v>
      </c>
      <c r="AK32" s="256">
        <v>0</v>
      </c>
      <c r="AL32" s="256">
        <v>0</v>
      </c>
      <c r="AM32" s="256">
        <f t="shared" ref="AM32:AM49" si="37">SUM(AH32:AL32)</f>
        <v>3</v>
      </c>
      <c r="AN32" s="261">
        <f t="shared" ref="AN32:AN50" si="38">AM32*100/G32</f>
        <v>0.1609442060085837</v>
      </c>
      <c r="AO32" s="256">
        <v>1</v>
      </c>
      <c r="AP32" s="256">
        <v>2</v>
      </c>
      <c r="AQ32" s="256">
        <v>1</v>
      </c>
      <c r="AR32" s="256">
        <v>1</v>
      </c>
      <c r="AS32" s="256">
        <v>1</v>
      </c>
      <c r="AT32" s="256">
        <f>SUM(AO32:AS32)</f>
        <v>6</v>
      </c>
      <c r="AU32" s="263">
        <v>0</v>
      </c>
      <c r="AV32" s="263">
        <v>0</v>
      </c>
      <c r="AW32" s="263">
        <v>1</v>
      </c>
      <c r="AX32" s="263">
        <v>1</v>
      </c>
      <c r="AY32" s="263">
        <v>0</v>
      </c>
      <c r="AZ32" s="256">
        <f>SUM(AU32:AY32)</f>
        <v>2</v>
      </c>
      <c r="BA32" s="263">
        <v>4</v>
      </c>
      <c r="BB32" s="263">
        <v>2</v>
      </c>
      <c r="BC32" s="263">
        <v>5</v>
      </c>
      <c r="BD32" s="263">
        <v>7</v>
      </c>
      <c r="BE32" s="263">
        <v>2</v>
      </c>
      <c r="BF32" s="256">
        <f>SUM(BA32:BE32)</f>
        <v>20</v>
      </c>
      <c r="BG32" s="252"/>
      <c r="BH32" s="265"/>
      <c r="BI32" s="266"/>
      <c r="BJ32" s="254"/>
      <c r="BK32" s="254"/>
    </row>
    <row r="33" spans="1:63" ht="16.2" thickBot="1" x14ac:dyDescent="0.4">
      <c r="A33" s="296" t="s">
        <v>151</v>
      </c>
      <c r="B33" s="256">
        <v>3600</v>
      </c>
      <c r="C33" s="256">
        <v>2574</v>
      </c>
      <c r="D33" s="256">
        <v>5099</v>
      </c>
      <c r="E33" s="256">
        <v>5577</v>
      </c>
      <c r="F33" s="258">
        <v>3556</v>
      </c>
      <c r="G33" s="259">
        <f t="shared" ref="G33:G44" si="39">SUM(B33:F33)</f>
        <v>20406</v>
      </c>
      <c r="H33" s="260">
        <v>3</v>
      </c>
      <c r="I33" s="256">
        <v>5</v>
      </c>
      <c r="J33" s="256">
        <v>1</v>
      </c>
      <c r="K33" s="256">
        <v>4</v>
      </c>
      <c r="L33" s="256">
        <v>2</v>
      </c>
      <c r="M33" s="256">
        <v>12</v>
      </c>
      <c r="N33" s="256">
        <v>4</v>
      </c>
      <c r="O33" s="256">
        <v>4</v>
      </c>
      <c r="P33" s="256">
        <v>2</v>
      </c>
      <c r="Q33" s="256">
        <v>4</v>
      </c>
      <c r="R33" s="256">
        <f t="shared" ref="R33:R49" si="40">H33+J33+L33+N33+P33</f>
        <v>12</v>
      </c>
      <c r="S33" s="256">
        <f t="shared" ref="S33:S49" si="41">I33+K33+M33+O33+Q33</f>
        <v>29</v>
      </c>
      <c r="T33" s="261">
        <f t="shared" si="33"/>
        <v>0.20092129765755171</v>
      </c>
      <c r="U33" s="256">
        <v>2</v>
      </c>
      <c r="V33" s="256">
        <v>4</v>
      </c>
      <c r="W33" s="256">
        <v>1</v>
      </c>
      <c r="X33" s="256">
        <v>1</v>
      </c>
      <c r="Y33" s="256">
        <v>1</v>
      </c>
      <c r="Z33" s="256">
        <v>7</v>
      </c>
      <c r="AA33" s="256">
        <v>4</v>
      </c>
      <c r="AB33" s="256">
        <v>4</v>
      </c>
      <c r="AC33" s="256">
        <v>3</v>
      </c>
      <c r="AD33" s="256">
        <v>1</v>
      </c>
      <c r="AE33" s="256">
        <f t="shared" ref="AE33:AE49" si="42">U33+W33+Y33+AA33+AC33</f>
        <v>11</v>
      </c>
      <c r="AF33" s="256">
        <f t="shared" ref="AF33:AF49" si="43">V33+X33+Z33+AB33+AD33</f>
        <v>17</v>
      </c>
      <c r="AG33" s="261">
        <f t="shared" si="36"/>
        <v>0.13721454474174263</v>
      </c>
      <c r="AH33" s="256">
        <v>8</v>
      </c>
      <c r="AI33" s="256">
        <v>2</v>
      </c>
      <c r="AJ33" s="256">
        <v>4</v>
      </c>
      <c r="AK33" s="256">
        <v>0</v>
      </c>
      <c r="AL33" s="256">
        <v>1</v>
      </c>
      <c r="AM33" s="256">
        <f t="shared" ref="AM33:AM45" si="44">SUM(AH33:AL33)</f>
        <v>15</v>
      </c>
      <c r="AN33" s="261">
        <f t="shared" si="38"/>
        <v>7.3507791825933547E-2</v>
      </c>
      <c r="AO33" s="256">
        <v>4</v>
      </c>
      <c r="AP33" s="256">
        <v>1</v>
      </c>
      <c r="AQ33" s="256">
        <v>1</v>
      </c>
      <c r="AR33" s="256">
        <v>2</v>
      </c>
      <c r="AS33" s="256">
        <v>1</v>
      </c>
      <c r="AT33" s="256">
        <f t="shared" ref="AT33:AT42" si="45">SUM(AO33:AS33)</f>
        <v>9</v>
      </c>
      <c r="AU33" s="263">
        <v>1</v>
      </c>
      <c r="AV33" s="263">
        <v>0</v>
      </c>
      <c r="AW33" s="263">
        <v>4</v>
      </c>
      <c r="AX33" s="263">
        <v>0</v>
      </c>
      <c r="AY33" s="263">
        <v>1</v>
      </c>
      <c r="AZ33" s="256">
        <f t="shared" ref="AZ33:AZ46" si="46">SUM(AU33:AY33)</f>
        <v>6</v>
      </c>
      <c r="BA33" s="263">
        <v>23</v>
      </c>
      <c r="BB33" s="263">
        <v>8</v>
      </c>
      <c r="BC33" s="263">
        <v>21</v>
      </c>
      <c r="BD33" s="263">
        <v>19</v>
      </c>
      <c r="BE33" s="263">
        <v>10</v>
      </c>
      <c r="BF33" s="256">
        <f t="shared" ref="BF33:BF41" si="47">SUM(BA33:BE33)</f>
        <v>81</v>
      </c>
      <c r="BG33" s="252"/>
      <c r="BH33" s="265"/>
      <c r="BI33" s="266"/>
      <c r="BJ33" s="254"/>
      <c r="BK33" s="254"/>
    </row>
    <row r="34" spans="1:63" ht="31.8" thickBot="1" x14ac:dyDescent="0.4">
      <c r="A34" s="297" t="s">
        <v>134</v>
      </c>
      <c r="B34" s="256">
        <v>1108</v>
      </c>
      <c r="C34" s="256">
        <v>782</v>
      </c>
      <c r="D34" s="256">
        <v>1824</v>
      </c>
      <c r="E34" s="256">
        <v>1738</v>
      </c>
      <c r="F34" s="258">
        <v>1021</v>
      </c>
      <c r="G34" s="259">
        <f t="shared" si="39"/>
        <v>6473</v>
      </c>
      <c r="H34" s="260">
        <v>3</v>
      </c>
      <c r="I34" s="256">
        <v>7</v>
      </c>
      <c r="J34" s="256">
        <v>4</v>
      </c>
      <c r="K34" s="256">
        <v>7</v>
      </c>
      <c r="L34" s="256">
        <v>8</v>
      </c>
      <c r="M34" s="256">
        <v>7</v>
      </c>
      <c r="N34" s="256">
        <v>2</v>
      </c>
      <c r="O34" s="256">
        <v>8</v>
      </c>
      <c r="P34" s="256">
        <v>12</v>
      </c>
      <c r="Q34" s="256">
        <v>3</v>
      </c>
      <c r="R34" s="256">
        <f t="shared" si="40"/>
        <v>29</v>
      </c>
      <c r="S34" s="256">
        <f t="shared" si="41"/>
        <v>32</v>
      </c>
      <c r="T34" s="261">
        <f t="shared" si="33"/>
        <v>0.94237602348215666</v>
      </c>
      <c r="U34" s="256">
        <v>5</v>
      </c>
      <c r="V34" s="256">
        <v>3</v>
      </c>
      <c r="W34" s="256">
        <v>2</v>
      </c>
      <c r="X34" s="256">
        <v>4</v>
      </c>
      <c r="Y34" s="256">
        <v>5</v>
      </c>
      <c r="Z34" s="256">
        <v>10</v>
      </c>
      <c r="AA34" s="256">
        <v>4</v>
      </c>
      <c r="AB34" s="256">
        <v>6</v>
      </c>
      <c r="AC34" s="256">
        <v>1</v>
      </c>
      <c r="AD34" s="256">
        <v>1</v>
      </c>
      <c r="AE34" s="256">
        <f t="shared" si="42"/>
        <v>17</v>
      </c>
      <c r="AF34" s="256">
        <f t="shared" si="43"/>
        <v>24</v>
      </c>
      <c r="AG34" s="261">
        <f t="shared" si="36"/>
        <v>0.6334002780781709</v>
      </c>
      <c r="AH34" s="256">
        <v>2</v>
      </c>
      <c r="AI34" s="256">
        <v>0</v>
      </c>
      <c r="AJ34" s="256">
        <v>2</v>
      </c>
      <c r="AK34" s="256">
        <v>2</v>
      </c>
      <c r="AL34" s="256">
        <v>0</v>
      </c>
      <c r="AM34" s="256">
        <f t="shared" si="44"/>
        <v>6</v>
      </c>
      <c r="AN34" s="261">
        <f t="shared" si="38"/>
        <v>9.2692723621195738E-2</v>
      </c>
      <c r="AO34" s="256">
        <v>2</v>
      </c>
      <c r="AP34" s="256">
        <v>8</v>
      </c>
      <c r="AQ34" s="256">
        <v>0</v>
      </c>
      <c r="AR34" s="256">
        <v>3</v>
      </c>
      <c r="AS34" s="256">
        <v>1</v>
      </c>
      <c r="AT34" s="256">
        <f t="shared" si="45"/>
        <v>14</v>
      </c>
      <c r="AU34" s="263">
        <v>3</v>
      </c>
      <c r="AV34" s="263">
        <v>1</v>
      </c>
      <c r="AW34" s="263">
        <v>6</v>
      </c>
      <c r="AX34" s="263">
        <v>5</v>
      </c>
      <c r="AY34" s="263">
        <v>0</v>
      </c>
      <c r="AZ34" s="256">
        <f t="shared" si="46"/>
        <v>15</v>
      </c>
      <c r="BA34" s="263">
        <v>17</v>
      </c>
      <c r="BB34" s="263">
        <v>22</v>
      </c>
      <c r="BC34" s="263">
        <v>34</v>
      </c>
      <c r="BD34" s="263">
        <v>12</v>
      </c>
      <c r="BE34" s="263">
        <v>11</v>
      </c>
      <c r="BF34" s="256">
        <f t="shared" si="47"/>
        <v>96</v>
      </c>
      <c r="BG34" s="252"/>
      <c r="BH34" s="265"/>
      <c r="BI34" s="266"/>
      <c r="BJ34" s="254"/>
      <c r="BK34" s="254"/>
    </row>
    <row r="35" spans="1:63" ht="16.2" thickBot="1" x14ac:dyDescent="0.4">
      <c r="A35" s="296" t="s">
        <v>135</v>
      </c>
      <c r="B35" s="256">
        <v>2227</v>
      </c>
      <c r="C35" s="256">
        <v>2108</v>
      </c>
      <c r="D35" s="256">
        <v>3514</v>
      </c>
      <c r="E35" s="256">
        <v>3571</v>
      </c>
      <c r="F35" s="258">
        <v>2144</v>
      </c>
      <c r="G35" s="259">
        <f t="shared" si="39"/>
        <v>13564</v>
      </c>
      <c r="H35" s="260">
        <v>1</v>
      </c>
      <c r="I35" s="256">
        <v>2</v>
      </c>
      <c r="J35" s="256">
        <v>0</v>
      </c>
      <c r="K35" s="256">
        <v>4</v>
      </c>
      <c r="L35" s="256">
        <v>1</v>
      </c>
      <c r="M35" s="256">
        <v>6</v>
      </c>
      <c r="N35" s="256">
        <v>0</v>
      </c>
      <c r="O35" s="256">
        <v>3</v>
      </c>
      <c r="P35" s="256">
        <v>4</v>
      </c>
      <c r="Q35" s="256">
        <v>1</v>
      </c>
      <c r="R35" s="256">
        <f t="shared" si="40"/>
        <v>6</v>
      </c>
      <c r="S35" s="256">
        <f t="shared" si="41"/>
        <v>16</v>
      </c>
      <c r="T35" s="261">
        <f t="shared" si="33"/>
        <v>0.16219404305514598</v>
      </c>
      <c r="U35" s="256">
        <v>1</v>
      </c>
      <c r="V35" s="256">
        <v>4</v>
      </c>
      <c r="W35" s="256">
        <v>0</v>
      </c>
      <c r="X35" s="256">
        <v>4</v>
      </c>
      <c r="Y35" s="256">
        <v>2</v>
      </c>
      <c r="Z35" s="256">
        <v>4</v>
      </c>
      <c r="AA35" s="256">
        <v>1</v>
      </c>
      <c r="AB35" s="256">
        <v>0</v>
      </c>
      <c r="AC35" s="256">
        <v>2</v>
      </c>
      <c r="AD35" s="256">
        <v>0</v>
      </c>
      <c r="AE35" s="256">
        <f t="shared" si="42"/>
        <v>6</v>
      </c>
      <c r="AF35" s="256">
        <f t="shared" si="43"/>
        <v>12</v>
      </c>
      <c r="AG35" s="261">
        <f t="shared" si="36"/>
        <v>0.13270421704511942</v>
      </c>
      <c r="AH35" s="256">
        <v>1</v>
      </c>
      <c r="AI35" s="256">
        <v>0</v>
      </c>
      <c r="AJ35" s="256">
        <v>0</v>
      </c>
      <c r="AK35" s="256">
        <v>0</v>
      </c>
      <c r="AL35" s="256">
        <v>1</v>
      </c>
      <c r="AM35" s="256">
        <f t="shared" si="44"/>
        <v>2</v>
      </c>
      <c r="AN35" s="261">
        <f t="shared" si="38"/>
        <v>1.4744913005013271E-2</v>
      </c>
      <c r="AO35" s="256">
        <v>0</v>
      </c>
      <c r="AP35" s="256">
        <v>0</v>
      </c>
      <c r="AQ35" s="256">
        <v>0</v>
      </c>
      <c r="AR35" s="256">
        <v>0</v>
      </c>
      <c r="AS35" s="256">
        <v>0</v>
      </c>
      <c r="AT35" s="256">
        <f t="shared" si="45"/>
        <v>0</v>
      </c>
      <c r="AU35" s="263">
        <v>0</v>
      </c>
      <c r="AV35" s="263">
        <v>0</v>
      </c>
      <c r="AW35" s="263">
        <v>2</v>
      </c>
      <c r="AX35" s="263">
        <v>0</v>
      </c>
      <c r="AY35" s="263">
        <v>0</v>
      </c>
      <c r="AZ35" s="256">
        <f t="shared" si="46"/>
        <v>2</v>
      </c>
      <c r="BA35" s="263">
        <v>14</v>
      </c>
      <c r="BB35" s="263">
        <v>5</v>
      </c>
      <c r="BC35" s="263">
        <v>11</v>
      </c>
      <c r="BD35" s="263">
        <v>6</v>
      </c>
      <c r="BE35" s="263">
        <v>12</v>
      </c>
      <c r="BF35" s="256">
        <f t="shared" si="47"/>
        <v>48</v>
      </c>
      <c r="BG35" s="252"/>
      <c r="BH35" s="265"/>
      <c r="BI35" s="266"/>
      <c r="BJ35" s="254"/>
      <c r="BK35" s="254"/>
    </row>
    <row r="36" spans="1:63" ht="16.2" thickBot="1" x14ac:dyDescent="0.4">
      <c r="A36" s="296" t="s">
        <v>136</v>
      </c>
      <c r="B36" s="256">
        <v>884</v>
      </c>
      <c r="C36" s="256">
        <v>513</v>
      </c>
      <c r="D36" s="256">
        <v>1562</v>
      </c>
      <c r="E36" s="256">
        <v>1212</v>
      </c>
      <c r="F36" s="258">
        <v>659</v>
      </c>
      <c r="G36" s="259">
        <f t="shared" si="39"/>
        <v>4830</v>
      </c>
      <c r="H36" s="260">
        <v>3</v>
      </c>
      <c r="I36" s="256">
        <v>2</v>
      </c>
      <c r="J36" s="256">
        <v>2</v>
      </c>
      <c r="K36" s="256">
        <v>0</v>
      </c>
      <c r="L36" s="256">
        <v>0</v>
      </c>
      <c r="M36" s="256">
        <v>5</v>
      </c>
      <c r="N36" s="256">
        <v>2</v>
      </c>
      <c r="O36" s="256">
        <v>2</v>
      </c>
      <c r="P36" s="256">
        <v>1</v>
      </c>
      <c r="Q36" s="256">
        <v>1</v>
      </c>
      <c r="R36" s="256">
        <f t="shared" si="40"/>
        <v>8</v>
      </c>
      <c r="S36" s="256">
        <f t="shared" si="41"/>
        <v>10</v>
      </c>
      <c r="T36" s="261">
        <f t="shared" si="33"/>
        <v>0.37267080745341613</v>
      </c>
      <c r="U36" s="256">
        <v>3</v>
      </c>
      <c r="V36" s="256">
        <v>4</v>
      </c>
      <c r="W36" s="256">
        <v>1</v>
      </c>
      <c r="X36" s="256">
        <v>1</v>
      </c>
      <c r="Y36" s="256">
        <v>10</v>
      </c>
      <c r="Z36" s="256">
        <v>7</v>
      </c>
      <c r="AA36" s="256">
        <v>0</v>
      </c>
      <c r="AB36" s="256">
        <v>5</v>
      </c>
      <c r="AC36" s="256">
        <v>1</v>
      </c>
      <c r="AD36" s="256">
        <v>1</v>
      </c>
      <c r="AE36" s="256">
        <f t="shared" si="42"/>
        <v>15</v>
      </c>
      <c r="AF36" s="256">
        <f t="shared" si="43"/>
        <v>18</v>
      </c>
      <c r="AG36" s="261">
        <f t="shared" si="36"/>
        <v>0.68322981366459623</v>
      </c>
      <c r="AH36" s="256">
        <v>11</v>
      </c>
      <c r="AI36" s="256">
        <v>1</v>
      </c>
      <c r="AJ36" s="256">
        <v>5</v>
      </c>
      <c r="AK36" s="256">
        <v>1</v>
      </c>
      <c r="AL36" s="256">
        <v>0</v>
      </c>
      <c r="AM36" s="256">
        <f t="shared" si="44"/>
        <v>18</v>
      </c>
      <c r="AN36" s="261">
        <f t="shared" si="38"/>
        <v>0.37267080745341613</v>
      </c>
      <c r="AO36" s="256">
        <v>0</v>
      </c>
      <c r="AP36" s="256">
        <v>2</v>
      </c>
      <c r="AQ36" s="256">
        <v>1</v>
      </c>
      <c r="AR36" s="256">
        <v>0</v>
      </c>
      <c r="AS36" s="256">
        <v>0</v>
      </c>
      <c r="AT36" s="256">
        <f t="shared" si="45"/>
        <v>3</v>
      </c>
      <c r="AU36" s="263">
        <v>0</v>
      </c>
      <c r="AV36" s="263">
        <v>1</v>
      </c>
      <c r="AW36" s="263">
        <v>5</v>
      </c>
      <c r="AX36" s="263">
        <v>1</v>
      </c>
      <c r="AY36" s="263">
        <v>0</v>
      </c>
      <c r="AZ36" s="256">
        <f t="shared" si="46"/>
        <v>7</v>
      </c>
      <c r="BA36" s="263">
        <v>33</v>
      </c>
      <c r="BB36" s="263">
        <v>11</v>
      </c>
      <c r="BC36" s="263">
        <v>21</v>
      </c>
      <c r="BD36" s="263">
        <v>6</v>
      </c>
      <c r="BE36" s="263">
        <v>6</v>
      </c>
      <c r="BF36" s="256">
        <f t="shared" si="47"/>
        <v>77</v>
      </c>
      <c r="BG36" s="252"/>
      <c r="BH36" s="265"/>
      <c r="BI36" s="266"/>
      <c r="BJ36" s="254"/>
      <c r="BK36" s="254"/>
    </row>
    <row r="37" spans="1:63" ht="16.2" thickBot="1" x14ac:dyDescent="0.4">
      <c r="A37" s="296" t="s">
        <v>34</v>
      </c>
      <c r="B37" s="256">
        <v>795</v>
      </c>
      <c r="C37" s="256">
        <v>690</v>
      </c>
      <c r="D37" s="256">
        <v>868</v>
      </c>
      <c r="E37" s="256">
        <v>798</v>
      </c>
      <c r="F37" s="258">
        <v>1016</v>
      </c>
      <c r="G37" s="259">
        <f t="shared" si="39"/>
        <v>4167</v>
      </c>
      <c r="H37" s="260">
        <v>0</v>
      </c>
      <c r="I37" s="256">
        <v>0</v>
      </c>
      <c r="J37" s="256">
        <v>0</v>
      </c>
      <c r="K37" s="256">
        <v>2</v>
      </c>
      <c r="L37" s="256">
        <v>0</v>
      </c>
      <c r="M37" s="256">
        <v>0</v>
      </c>
      <c r="N37" s="256">
        <v>2</v>
      </c>
      <c r="O37" s="256">
        <v>1</v>
      </c>
      <c r="P37" s="256">
        <v>1</v>
      </c>
      <c r="Q37" s="256">
        <v>2</v>
      </c>
      <c r="R37" s="256">
        <f t="shared" si="40"/>
        <v>3</v>
      </c>
      <c r="S37" s="256">
        <f t="shared" si="41"/>
        <v>5</v>
      </c>
      <c r="T37" s="261">
        <f t="shared" si="33"/>
        <v>0.19198464122870171</v>
      </c>
      <c r="U37" s="256">
        <v>4</v>
      </c>
      <c r="V37" s="256">
        <v>0</v>
      </c>
      <c r="W37" s="256">
        <v>2</v>
      </c>
      <c r="X37" s="256">
        <v>2</v>
      </c>
      <c r="Y37" s="256">
        <v>2</v>
      </c>
      <c r="Z37" s="256">
        <v>0</v>
      </c>
      <c r="AA37" s="256">
        <v>0</v>
      </c>
      <c r="AB37" s="256">
        <v>2</v>
      </c>
      <c r="AC37" s="256">
        <v>1</v>
      </c>
      <c r="AD37" s="256">
        <v>2</v>
      </c>
      <c r="AE37" s="256">
        <f t="shared" si="42"/>
        <v>9</v>
      </c>
      <c r="AF37" s="256">
        <f t="shared" si="43"/>
        <v>6</v>
      </c>
      <c r="AG37" s="261">
        <f t="shared" si="36"/>
        <v>0.35997120230381568</v>
      </c>
      <c r="AH37" s="256">
        <v>2</v>
      </c>
      <c r="AI37" s="256">
        <v>1</v>
      </c>
      <c r="AJ37" s="256">
        <v>0</v>
      </c>
      <c r="AK37" s="256">
        <v>0</v>
      </c>
      <c r="AL37" s="256">
        <v>0</v>
      </c>
      <c r="AM37" s="256">
        <f t="shared" si="44"/>
        <v>3</v>
      </c>
      <c r="AN37" s="261">
        <f t="shared" si="38"/>
        <v>7.1994240460763137E-2</v>
      </c>
      <c r="AO37" s="256">
        <v>1</v>
      </c>
      <c r="AP37" s="256">
        <v>1</v>
      </c>
      <c r="AQ37" s="256">
        <v>0</v>
      </c>
      <c r="AR37" s="256">
        <v>0</v>
      </c>
      <c r="AS37" s="256">
        <v>1</v>
      </c>
      <c r="AT37" s="256">
        <f t="shared" si="45"/>
        <v>3</v>
      </c>
      <c r="AU37" s="263">
        <v>0</v>
      </c>
      <c r="AV37" s="263">
        <v>1</v>
      </c>
      <c r="AW37" s="263">
        <v>0</v>
      </c>
      <c r="AX37" s="263">
        <v>0</v>
      </c>
      <c r="AY37" s="263">
        <v>0</v>
      </c>
      <c r="AZ37" s="256">
        <f t="shared" si="46"/>
        <v>1</v>
      </c>
      <c r="BA37" s="263">
        <v>6</v>
      </c>
      <c r="BB37" s="263">
        <v>3</v>
      </c>
      <c r="BC37" s="263">
        <v>5</v>
      </c>
      <c r="BD37" s="263">
        <v>3</v>
      </c>
      <c r="BE37" s="263">
        <v>3</v>
      </c>
      <c r="BF37" s="256">
        <f t="shared" si="47"/>
        <v>20</v>
      </c>
      <c r="BG37" s="252"/>
      <c r="BH37" s="265"/>
      <c r="BI37" s="266"/>
      <c r="BJ37" s="254"/>
      <c r="BK37" s="254"/>
    </row>
    <row r="38" spans="1:63" ht="16.2" thickBot="1" x14ac:dyDescent="0.4">
      <c r="A38" s="296" t="s">
        <v>137</v>
      </c>
      <c r="B38" s="256">
        <v>567</v>
      </c>
      <c r="C38" s="256">
        <v>529</v>
      </c>
      <c r="D38" s="256">
        <v>1060</v>
      </c>
      <c r="E38" s="256">
        <v>923</v>
      </c>
      <c r="F38" s="258">
        <v>621</v>
      </c>
      <c r="G38" s="259">
        <f t="shared" si="39"/>
        <v>3700</v>
      </c>
      <c r="H38" s="260">
        <v>0</v>
      </c>
      <c r="I38" s="256">
        <v>2</v>
      </c>
      <c r="J38" s="256">
        <v>1</v>
      </c>
      <c r="K38" s="256">
        <v>1</v>
      </c>
      <c r="L38" s="256">
        <v>0</v>
      </c>
      <c r="M38" s="256">
        <v>4</v>
      </c>
      <c r="N38" s="256">
        <v>2</v>
      </c>
      <c r="O38" s="256">
        <v>0</v>
      </c>
      <c r="P38" s="256">
        <v>3</v>
      </c>
      <c r="Q38" s="256">
        <v>0</v>
      </c>
      <c r="R38" s="256">
        <f t="shared" si="40"/>
        <v>6</v>
      </c>
      <c r="S38" s="256">
        <f t="shared" si="41"/>
        <v>7</v>
      </c>
      <c r="T38" s="261">
        <f t="shared" si="33"/>
        <v>0.35135135135135137</v>
      </c>
      <c r="U38" s="256">
        <v>1</v>
      </c>
      <c r="V38" s="256">
        <v>2</v>
      </c>
      <c r="W38" s="256">
        <v>0</v>
      </c>
      <c r="X38" s="256">
        <v>2</v>
      </c>
      <c r="Y38" s="256">
        <v>0</v>
      </c>
      <c r="Z38" s="256">
        <v>4</v>
      </c>
      <c r="AA38" s="256">
        <v>2</v>
      </c>
      <c r="AB38" s="256">
        <v>1</v>
      </c>
      <c r="AC38" s="256">
        <v>0</v>
      </c>
      <c r="AD38" s="256">
        <v>1</v>
      </c>
      <c r="AE38" s="256">
        <f t="shared" si="42"/>
        <v>3</v>
      </c>
      <c r="AF38" s="256">
        <f t="shared" si="43"/>
        <v>10</v>
      </c>
      <c r="AG38" s="261">
        <f t="shared" si="36"/>
        <v>0.35135135135135137</v>
      </c>
      <c r="AH38" s="256">
        <v>2</v>
      </c>
      <c r="AI38" s="256">
        <v>0</v>
      </c>
      <c r="AJ38" s="256">
        <v>1</v>
      </c>
      <c r="AK38" s="256">
        <v>3</v>
      </c>
      <c r="AL38" s="256">
        <v>1</v>
      </c>
      <c r="AM38" s="256">
        <f t="shared" si="44"/>
        <v>7</v>
      </c>
      <c r="AN38" s="261">
        <f t="shared" si="38"/>
        <v>0.1891891891891892</v>
      </c>
      <c r="AO38" s="256">
        <v>0</v>
      </c>
      <c r="AP38" s="256">
        <v>0</v>
      </c>
      <c r="AQ38" s="256">
        <v>0</v>
      </c>
      <c r="AR38" s="256">
        <v>0</v>
      </c>
      <c r="AS38" s="256">
        <v>0</v>
      </c>
      <c r="AT38" s="256">
        <f t="shared" si="45"/>
        <v>0</v>
      </c>
      <c r="AU38" s="263">
        <v>0</v>
      </c>
      <c r="AV38" s="263">
        <v>1</v>
      </c>
      <c r="AW38" s="263">
        <v>1</v>
      </c>
      <c r="AX38" s="263">
        <v>1</v>
      </c>
      <c r="AY38" s="263">
        <v>0</v>
      </c>
      <c r="AZ38" s="256">
        <f t="shared" si="46"/>
        <v>3</v>
      </c>
      <c r="BA38" s="263">
        <v>10</v>
      </c>
      <c r="BB38" s="263">
        <v>6</v>
      </c>
      <c r="BC38" s="263">
        <v>8</v>
      </c>
      <c r="BD38" s="263">
        <v>5</v>
      </c>
      <c r="BE38" s="263">
        <v>0</v>
      </c>
      <c r="BF38" s="256">
        <f t="shared" si="47"/>
        <v>29</v>
      </c>
      <c r="BG38" s="252"/>
      <c r="BH38" s="265"/>
      <c r="BI38" s="266"/>
      <c r="BJ38" s="254"/>
      <c r="BK38" s="254"/>
    </row>
    <row r="39" spans="1:63" ht="16.2" thickBot="1" x14ac:dyDescent="0.4">
      <c r="A39" s="296" t="s">
        <v>138</v>
      </c>
      <c r="B39" s="256">
        <v>5828</v>
      </c>
      <c r="C39" s="256">
        <v>5053</v>
      </c>
      <c r="D39" s="256">
        <v>10027</v>
      </c>
      <c r="E39" s="256">
        <v>6988</v>
      </c>
      <c r="F39" s="258">
        <v>8069</v>
      </c>
      <c r="G39" s="259">
        <f t="shared" si="39"/>
        <v>35965</v>
      </c>
      <c r="H39" s="260">
        <v>9</v>
      </c>
      <c r="I39" s="256">
        <v>12</v>
      </c>
      <c r="J39" s="256">
        <v>4</v>
      </c>
      <c r="K39" s="256">
        <v>9</v>
      </c>
      <c r="L39" s="256">
        <v>13</v>
      </c>
      <c r="M39" s="256">
        <v>25</v>
      </c>
      <c r="N39" s="256">
        <v>8</v>
      </c>
      <c r="O39" s="256">
        <v>13</v>
      </c>
      <c r="P39" s="256">
        <v>5</v>
      </c>
      <c r="Q39" s="256">
        <v>12</v>
      </c>
      <c r="R39" s="256">
        <f t="shared" si="40"/>
        <v>39</v>
      </c>
      <c r="S39" s="256">
        <f t="shared" si="41"/>
        <v>71</v>
      </c>
      <c r="T39" s="261">
        <f t="shared" si="33"/>
        <v>0.30585291255387181</v>
      </c>
      <c r="U39" s="256">
        <v>8</v>
      </c>
      <c r="V39" s="256">
        <v>16</v>
      </c>
      <c r="W39" s="256">
        <v>6</v>
      </c>
      <c r="X39" s="256">
        <v>9</v>
      </c>
      <c r="Y39" s="256">
        <v>11</v>
      </c>
      <c r="Z39" s="256">
        <v>30</v>
      </c>
      <c r="AA39" s="256">
        <v>11</v>
      </c>
      <c r="AB39" s="256">
        <v>14</v>
      </c>
      <c r="AC39" s="256">
        <v>7</v>
      </c>
      <c r="AD39" s="256">
        <v>12</v>
      </c>
      <c r="AE39" s="256">
        <f t="shared" si="42"/>
        <v>43</v>
      </c>
      <c r="AF39" s="256">
        <f t="shared" si="43"/>
        <v>81</v>
      </c>
      <c r="AG39" s="261">
        <f t="shared" si="36"/>
        <v>0.34477964687891005</v>
      </c>
      <c r="AH39" s="256">
        <v>11</v>
      </c>
      <c r="AI39" s="256">
        <v>2</v>
      </c>
      <c r="AJ39" s="256">
        <v>12</v>
      </c>
      <c r="AK39" s="256">
        <v>7</v>
      </c>
      <c r="AL39" s="256">
        <v>2</v>
      </c>
      <c r="AM39" s="256">
        <f t="shared" si="44"/>
        <v>34</v>
      </c>
      <c r="AN39" s="261">
        <f t="shared" si="38"/>
        <v>9.4536354789378566E-2</v>
      </c>
      <c r="AO39" s="256">
        <v>9</v>
      </c>
      <c r="AP39" s="256">
        <v>5</v>
      </c>
      <c r="AQ39" s="256">
        <v>3</v>
      </c>
      <c r="AR39" s="256">
        <v>4</v>
      </c>
      <c r="AS39" s="256">
        <v>10</v>
      </c>
      <c r="AT39" s="256">
        <f t="shared" si="45"/>
        <v>31</v>
      </c>
      <c r="AU39" s="263">
        <v>3</v>
      </c>
      <c r="AV39" s="263">
        <v>2</v>
      </c>
      <c r="AW39" s="263">
        <v>14</v>
      </c>
      <c r="AX39" s="263">
        <v>1</v>
      </c>
      <c r="AY39" s="263">
        <v>4</v>
      </c>
      <c r="AZ39" s="256">
        <f t="shared" si="46"/>
        <v>24</v>
      </c>
      <c r="BA39" s="263">
        <v>53</v>
      </c>
      <c r="BB39" s="263">
        <v>24</v>
      </c>
      <c r="BC39" s="263">
        <v>83</v>
      </c>
      <c r="BD39" s="263">
        <v>40</v>
      </c>
      <c r="BE39" s="263">
        <v>17</v>
      </c>
      <c r="BF39" s="256">
        <f t="shared" si="47"/>
        <v>217</v>
      </c>
      <c r="BG39" s="252"/>
      <c r="BH39" s="265"/>
      <c r="BI39" s="266"/>
      <c r="BJ39" s="254"/>
      <c r="BK39" s="254"/>
    </row>
    <row r="40" spans="1:63" ht="16.2" thickBot="1" x14ac:dyDescent="0.4">
      <c r="A40" s="296" t="s">
        <v>16</v>
      </c>
      <c r="B40" s="256">
        <v>889</v>
      </c>
      <c r="C40" s="256">
        <v>795</v>
      </c>
      <c r="D40" s="256">
        <v>3762</v>
      </c>
      <c r="E40" s="256">
        <v>1185</v>
      </c>
      <c r="F40" s="258">
        <v>885</v>
      </c>
      <c r="G40" s="259">
        <f t="shared" si="39"/>
        <v>7516</v>
      </c>
      <c r="H40" s="260">
        <v>1</v>
      </c>
      <c r="I40" s="256">
        <v>4</v>
      </c>
      <c r="J40" s="256">
        <v>1</v>
      </c>
      <c r="K40" s="256">
        <v>2</v>
      </c>
      <c r="L40" s="256">
        <v>3</v>
      </c>
      <c r="M40" s="256">
        <v>9</v>
      </c>
      <c r="N40" s="256">
        <v>4</v>
      </c>
      <c r="O40" s="256">
        <v>3</v>
      </c>
      <c r="P40" s="256">
        <v>8</v>
      </c>
      <c r="Q40" s="256">
        <v>2</v>
      </c>
      <c r="R40" s="256">
        <f t="shared" si="40"/>
        <v>17</v>
      </c>
      <c r="S40" s="256">
        <f t="shared" si="41"/>
        <v>20</v>
      </c>
      <c r="T40" s="261">
        <f t="shared" si="33"/>
        <v>0.49228312932410856</v>
      </c>
      <c r="U40" s="256">
        <v>0</v>
      </c>
      <c r="V40" s="256">
        <v>0</v>
      </c>
      <c r="W40" s="256">
        <v>1</v>
      </c>
      <c r="X40" s="256">
        <v>0</v>
      </c>
      <c r="Y40" s="256">
        <v>2</v>
      </c>
      <c r="Z40" s="256">
        <v>1</v>
      </c>
      <c r="AA40" s="256">
        <v>0</v>
      </c>
      <c r="AB40" s="256">
        <v>1</v>
      </c>
      <c r="AC40" s="256">
        <v>0</v>
      </c>
      <c r="AD40" s="256">
        <v>1</v>
      </c>
      <c r="AE40" s="256">
        <f t="shared" si="42"/>
        <v>3</v>
      </c>
      <c r="AF40" s="256">
        <f t="shared" si="43"/>
        <v>3</v>
      </c>
      <c r="AG40" s="261">
        <f t="shared" si="36"/>
        <v>7.982969664715274E-2</v>
      </c>
      <c r="AH40" s="256">
        <v>3</v>
      </c>
      <c r="AI40" s="256">
        <v>1</v>
      </c>
      <c r="AJ40" s="256">
        <v>7</v>
      </c>
      <c r="AK40" s="256">
        <v>0</v>
      </c>
      <c r="AL40" s="256">
        <v>1</v>
      </c>
      <c r="AM40" s="256">
        <f t="shared" si="44"/>
        <v>12</v>
      </c>
      <c r="AN40" s="261">
        <f t="shared" si="38"/>
        <v>0.15965939329430548</v>
      </c>
      <c r="AO40" s="256">
        <v>1</v>
      </c>
      <c r="AP40" s="256">
        <v>3</v>
      </c>
      <c r="AQ40" s="256">
        <v>2</v>
      </c>
      <c r="AR40" s="256">
        <v>4</v>
      </c>
      <c r="AS40" s="256">
        <v>0</v>
      </c>
      <c r="AT40" s="256">
        <f t="shared" si="45"/>
        <v>10</v>
      </c>
      <c r="AU40" s="263">
        <v>0</v>
      </c>
      <c r="AV40" s="263">
        <v>0</v>
      </c>
      <c r="AW40" s="263">
        <v>1</v>
      </c>
      <c r="AX40" s="263">
        <v>1</v>
      </c>
      <c r="AY40" s="263">
        <v>0</v>
      </c>
      <c r="AZ40" s="256">
        <f t="shared" si="46"/>
        <v>2</v>
      </c>
      <c r="BA40" s="263">
        <v>4</v>
      </c>
      <c r="BB40" s="263">
        <v>7</v>
      </c>
      <c r="BC40" s="263">
        <v>16</v>
      </c>
      <c r="BD40" s="263">
        <v>8</v>
      </c>
      <c r="BE40" s="263">
        <v>2</v>
      </c>
      <c r="BF40" s="256">
        <f t="shared" si="47"/>
        <v>37</v>
      </c>
      <c r="BG40" s="252"/>
      <c r="BH40" s="265"/>
      <c r="BI40" s="266"/>
      <c r="BJ40" s="254"/>
      <c r="BK40" s="254"/>
    </row>
    <row r="41" spans="1:63" ht="16.2" thickBot="1" x14ac:dyDescent="0.4">
      <c r="A41" s="296" t="s">
        <v>25</v>
      </c>
      <c r="B41" s="256">
        <v>172</v>
      </c>
      <c r="C41" s="256">
        <v>74</v>
      </c>
      <c r="D41" s="256">
        <v>198</v>
      </c>
      <c r="E41" s="256">
        <v>120</v>
      </c>
      <c r="F41" s="258">
        <v>97</v>
      </c>
      <c r="G41" s="259">
        <f t="shared" si="39"/>
        <v>661</v>
      </c>
      <c r="H41" s="260">
        <v>0</v>
      </c>
      <c r="I41" s="256">
        <v>0</v>
      </c>
      <c r="J41" s="256">
        <v>0</v>
      </c>
      <c r="K41" s="256">
        <v>0</v>
      </c>
      <c r="L41" s="256">
        <v>1</v>
      </c>
      <c r="M41" s="256">
        <v>3</v>
      </c>
      <c r="N41" s="256">
        <v>2</v>
      </c>
      <c r="O41" s="256">
        <v>1</v>
      </c>
      <c r="P41" s="256">
        <v>0</v>
      </c>
      <c r="Q41" s="256">
        <v>0</v>
      </c>
      <c r="R41" s="256">
        <f t="shared" si="40"/>
        <v>3</v>
      </c>
      <c r="S41" s="256">
        <f t="shared" si="41"/>
        <v>4</v>
      </c>
      <c r="T41" s="261">
        <f t="shared" si="33"/>
        <v>1.059001512859304</v>
      </c>
      <c r="U41" s="256">
        <v>0</v>
      </c>
      <c r="V41" s="256">
        <v>0</v>
      </c>
      <c r="W41" s="256">
        <v>0</v>
      </c>
      <c r="X41" s="256">
        <v>0</v>
      </c>
      <c r="Y41" s="256">
        <v>2</v>
      </c>
      <c r="Z41" s="256">
        <v>1</v>
      </c>
      <c r="AA41" s="256">
        <v>0</v>
      </c>
      <c r="AB41" s="256">
        <v>0</v>
      </c>
      <c r="AC41" s="256">
        <v>0</v>
      </c>
      <c r="AD41" s="256">
        <v>0</v>
      </c>
      <c r="AE41" s="256">
        <f t="shared" si="42"/>
        <v>2</v>
      </c>
      <c r="AF41" s="256">
        <f t="shared" si="43"/>
        <v>1</v>
      </c>
      <c r="AG41" s="261">
        <f t="shared" si="36"/>
        <v>0.45385779122541603</v>
      </c>
      <c r="AH41" s="256">
        <v>1</v>
      </c>
      <c r="AI41" s="256">
        <v>0</v>
      </c>
      <c r="AJ41" s="256">
        <v>0</v>
      </c>
      <c r="AK41" s="256">
        <v>0</v>
      </c>
      <c r="AL41" s="256">
        <v>0</v>
      </c>
      <c r="AM41" s="256">
        <f t="shared" si="44"/>
        <v>1</v>
      </c>
      <c r="AN41" s="261">
        <f t="shared" si="38"/>
        <v>0.15128593040847202</v>
      </c>
      <c r="AO41" s="256">
        <v>0</v>
      </c>
      <c r="AP41" s="256">
        <v>1</v>
      </c>
      <c r="AQ41" s="256">
        <v>0</v>
      </c>
      <c r="AR41" s="256">
        <v>0</v>
      </c>
      <c r="AS41" s="256">
        <v>0</v>
      </c>
      <c r="AT41" s="256">
        <f t="shared" si="45"/>
        <v>1</v>
      </c>
      <c r="AU41" s="263">
        <v>0</v>
      </c>
      <c r="AV41" s="263">
        <v>0</v>
      </c>
      <c r="AW41" s="263">
        <v>1</v>
      </c>
      <c r="AX41" s="263">
        <v>1</v>
      </c>
      <c r="AY41" s="263">
        <v>0</v>
      </c>
      <c r="AZ41" s="256">
        <f t="shared" si="46"/>
        <v>2</v>
      </c>
      <c r="BA41" s="263">
        <v>5</v>
      </c>
      <c r="BB41" s="263">
        <v>1</v>
      </c>
      <c r="BC41" s="263">
        <v>3</v>
      </c>
      <c r="BD41" s="263">
        <v>3</v>
      </c>
      <c r="BE41" s="263">
        <v>0</v>
      </c>
      <c r="BF41" s="256">
        <f t="shared" si="47"/>
        <v>12</v>
      </c>
      <c r="BG41" s="252"/>
      <c r="BH41" s="265"/>
      <c r="BI41" s="266"/>
      <c r="BJ41" s="254"/>
      <c r="BK41" s="254"/>
    </row>
    <row r="42" spans="1:63" ht="16.2" thickBot="1" x14ac:dyDescent="0.4">
      <c r="A42" s="296" t="s">
        <v>139</v>
      </c>
      <c r="B42" s="256">
        <v>780</v>
      </c>
      <c r="C42" s="256">
        <v>624</v>
      </c>
      <c r="D42" s="256">
        <v>1120</v>
      </c>
      <c r="E42" s="256">
        <v>631</v>
      </c>
      <c r="F42" s="258">
        <v>1044</v>
      </c>
      <c r="G42" s="259">
        <f t="shared" si="39"/>
        <v>4199</v>
      </c>
      <c r="H42" s="260">
        <v>0</v>
      </c>
      <c r="I42" s="256">
        <v>2</v>
      </c>
      <c r="J42" s="256">
        <v>0</v>
      </c>
      <c r="K42" s="256">
        <v>0</v>
      </c>
      <c r="L42" s="256">
        <v>4</v>
      </c>
      <c r="M42" s="256">
        <v>3</v>
      </c>
      <c r="N42" s="256">
        <v>1</v>
      </c>
      <c r="O42" s="256">
        <v>0</v>
      </c>
      <c r="P42" s="256">
        <v>2</v>
      </c>
      <c r="Q42" s="256">
        <v>1</v>
      </c>
      <c r="R42" s="256">
        <f t="shared" si="40"/>
        <v>7</v>
      </c>
      <c r="S42" s="256">
        <f t="shared" si="41"/>
        <v>6</v>
      </c>
      <c r="T42" s="261">
        <f t="shared" si="33"/>
        <v>0.30959752321981426</v>
      </c>
      <c r="U42" s="256">
        <v>2</v>
      </c>
      <c r="V42" s="256">
        <v>0</v>
      </c>
      <c r="W42" s="256">
        <v>0</v>
      </c>
      <c r="X42" s="256">
        <v>0</v>
      </c>
      <c r="Y42" s="256">
        <v>2</v>
      </c>
      <c r="Z42" s="256">
        <v>2</v>
      </c>
      <c r="AA42" s="256">
        <v>0</v>
      </c>
      <c r="AB42" s="256">
        <v>1</v>
      </c>
      <c r="AC42" s="256">
        <v>0</v>
      </c>
      <c r="AD42" s="256">
        <v>1</v>
      </c>
      <c r="AE42" s="256">
        <f t="shared" si="42"/>
        <v>4</v>
      </c>
      <c r="AF42" s="256">
        <f t="shared" si="43"/>
        <v>4</v>
      </c>
      <c r="AG42" s="261">
        <f t="shared" si="36"/>
        <v>0.19052155275065491</v>
      </c>
      <c r="AH42" s="256">
        <v>0</v>
      </c>
      <c r="AI42" s="256">
        <v>0</v>
      </c>
      <c r="AJ42" s="256">
        <v>0</v>
      </c>
      <c r="AK42" s="256">
        <v>1</v>
      </c>
      <c r="AL42" s="256">
        <v>0</v>
      </c>
      <c r="AM42" s="256">
        <f t="shared" si="44"/>
        <v>1</v>
      </c>
      <c r="AN42" s="261">
        <f t="shared" si="38"/>
        <v>2.3815194093831864E-2</v>
      </c>
      <c r="AO42" s="256">
        <v>0</v>
      </c>
      <c r="AP42" s="256">
        <v>1</v>
      </c>
      <c r="AQ42" s="256">
        <v>0</v>
      </c>
      <c r="AR42" s="256">
        <v>0</v>
      </c>
      <c r="AS42" s="256">
        <v>0</v>
      </c>
      <c r="AT42" s="256">
        <f t="shared" si="45"/>
        <v>1</v>
      </c>
      <c r="AU42" s="263">
        <v>1</v>
      </c>
      <c r="AV42" s="263">
        <v>0</v>
      </c>
      <c r="AW42" s="263">
        <v>0</v>
      </c>
      <c r="AX42" s="263">
        <v>2</v>
      </c>
      <c r="AY42" s="263">
        <v>0</v>
      </c>
      <c r="AZ42" s="256">
        <f t="shared" si="46"/>
        <v>3</v>
      </c>
      <c r="BA42" s="263">
        <v>3</v>
      </c>
      <c r="BB42" s="263">
        <v>0</v>
      </c>
      <c r="BC42" s="263">
        <v>3</v>
      </c>
      <c r="BD42" s="263">
        <v>2</v>
      </c>
      <c r="BE42" s="263">
        <v>1</v>
      </c>
      <c r="BF42" s="256">
        <f t="shared" ref="BF42:BF49" si="48">SUM(BA42:BE42)</f>
        <v>9</v>
      </c>
      <c r="BG42" s="252"/>
      <c r="BH42" s="265"/>
      <c r="BI42" s="266"/>
      <c r="BJ42" s="254"/>
      <c r="BK42" s="254"/>
    </row>
    <row r="43" spans="1:63" ht="16.2" thickBot="1" x14ac:dyDescent="0.4">
      <c r="A43" s="296" t="s">
        <v>140</v>
      </c>
      <c r="B43" s="256">
        <v>406</v>
      </c>
      <c r="C43" s="256">
        <v>149</v>
      </c>
      <c r="D43" s="256">
        <v>577</v>
      </c>
      <c r="E43" s="256">
        <v>333</v>
      </c>
      <c r="F43" s="258">
        <v>326</v>
      </c>
      <c r="G43" s="259">
        <f t="shared" si="39"/>
        <v>1791</v>
      </c>
      <c r="H43" s="260">
        <v>0</v>
      </c>
      <c r="I43" s="256">
        <v>1</v>
      </c>
      <c r="J43" s="256">
        <v>0</v>
      </c>
      <c r="K43" s="256">
        <v>0</v>
      </c>
      <c r="L43" s="256">
        <v>3</v>
      </c>
      <c r="M43" s="256">
        <v>7</v>
      </c>
      <c r="N43" s="256">
        <v>0</v>
      </c>
      <c r="O43" s="256">
        <v>1</v>
      </c>
      <c r="P43" s="256">
        <v>2</v>
      </c>
      <c r="Q43" s="256">
        <v>2</v>
      </c>
      <c r="R43" s="256">
        <f t="shared" si="40"/>
        <v>5</v>
      </c>
      <c r="S43" s="256">
        <f t="shared" si="41"/>
        <v>11</v>
      </c>
      <c r="T43" s="261">
        <f t="shared" si="33"/>
        <v>0.89335566722501392</v>
      </c>
      <c r="U43" s="256">
        <v>2</v>
      </c>
      <c r="V43" s="256">
        <v>0</v>
      </c>
      <c r="W43" s="256">
        <v>0</v>
      </c>
      <c r="X43" s="256">
        <v>1</v>
      </c>
      <c r="Y43" s="256">
        <v>3</v>
      </c>
      <c r="Z43" s="256">
        <v>5</v>
      </c>
      <c r="AA43" s="256">
        <v>1</v>
      </c>
      <c r="AB43" s="256">
        <v>1</v>
      </c>
      <c r="AC43" s="256">
        <v>6</v>
      </c>
      <c r="AD43" s="256">
        <v>1</v>
      </c>
      <c r="AE43" s="256">
        <f t="shared" si="42"/>
        <v>12</v>
      </c>
      <c r="AF43" s="256">
        <f t="shared" si="43"/>
        <v>8</v>
      </c>
      <c r="AG43" s="261">
        <f t="shared" si="36"/>
        <v>1.1166945840312674</v>
      </c>
      <c r="AH43" s="256">
        <v>2</v>
      </c>
      <c r="AI43" s="256">
        <v>2</v>
      </c>
      <c r="AJ43" s="256">
        <v>4</v>
      </c>
      <c r="AK43" s="256">
        <v>1</v>
      </c>
      <c r="AL43" s="256">
        <v>5</v>
      </c>
      <c r="AM43" s="256">
        <f t="shared" si="44"/>
        <v>14</v>
      </c>
      <c r="AN43" s="261">
        <f t="shared" si="38"/>
        <v>0.78168620882188722</v>
      </c>
      <c r="AO43" s="256">
        <v>0</v>
      </c>
      <c r="AP43" s="256">
        <v>2</v>
      </c>
      <c r="AQ43" s="256">
        <v>1</v>
      </c>
      <c r="AR43" s="256">
        <v>3</v>
      </c>
      <c r="AS43" s="256">
        <v>2</v>
      </c>
      <c r="AT43" s="256">
        <f t="shared" ref="AT43:AT49" si="49">SUM(AO43:AS43)</f>
        <v>8</v>
      </c>
      <c r="AU43" s="263">
        <v>1</v>
      </c>
      <c r="AV43" s="263">
        <v>0</v>
      </c>
      <c r="AW43" s="263">
        <v>7</v>
      </c>
      <c r="AX43" s="263">
        <v>1</v>
      </c>
      <c r="AY43" s="263">
        <v>2</v>
      </c>
      <c r="AZ43" s="256">
        <f t="shared" si="46"/>
        <v>11</v>
      </c>
      <c r="BA43" s="263">
        <v>5</v>
      </c>
      <c r="BB43" s="263">
        <v>2</v>
      </c>
      <c r="BC43" s="263">
        <v>13</v>
      </c>
      <c r="BD43" s="263">
        <v>2</v>
      </c>
      <c r="BE43" s="263">
        <v>13</v>
      </c>
      <c r="BF43" s="256">
        <f t="shared" si="48"/>
        <v>35</v>
      </c>
      <c r="BG43" s="252"/>
      <c r="BH43" s="265"/>
      <c r="BI43" s="266"/>
      <c r="BJ43" s="254"/>
      <c r="BK43" s="254"/>
    </row>
    <row r="44" spans="1:63" ht="16.2" thickBot="1" x14ac:dyDescent="0.4">
      <c r="A44" s="296" t="s">
        <v>141</v>
      </c>
      <c r="B44" s="256">
        <v>1729</v>
      </c>
      <c r="C44" s="256">
        <v>1448</v>
      </c>
      <c r="D44" s="256">
        <v>3868</v>
      </c>
      <c r="E44" s="256">
        <v>2276</v>
      </c>
      <c r="F44" s="258">
        <v>1681</v>
      </c>
      <c r="G44" s="259">
        <f t="shared" si="39"/>
        <v>11002</v>
      </c>
      <c r="H44" s="260">
        <v>0</v>
      </c>
      <c r="I44" s="256">
        <v>1</v>
      </c>
      <c r="J44" s="256">
        <v>1</v>
      </c>
      <c r="K44" s="256">
        <v>0</v>
      </c>
      <c r="L44" s="256">
        <v>3</v>
      </c>
      <c r="M44" s="256">
        <v>6</v>
      </c>
      <c r="N44" s="256">
        <v>0</v>
      </c>
      <c r="O44" s="256">
        <v>3</v>
      </c>
      <c r="P44" s="256">
        <v>1</v>
      </c>
      <c r="Q44" s="256">
        <v>3</v>
      </c>
      <c r="R44" s="256">
        <f t="shared" si="40"/>
        <v>5</v>
      </c>
      <c r="S44" s="256">
        <f t="shared" si="41"/>
        <v>13</v>
      </c>
      <c r="T44" s="261">
        <f t="shared" si="33"/>
        <v>0.16360661697873113</v>
      </c>
      <c r="U44" s="256">
        <v>2</v>
      </c>
      <c r="V44" s="256">
        <v>4</v>
      </c>
      <c r="W44" s="256">
        <v>0</v>
      </c>
      <c r="X44" s="256">
        <v>0</v>
      </c>
      <c r="Y44" s="256">
        <v>4</v>
      </c>
      <c r="Z44" s="256">
        <v>6</v>
      </c>
      <c r="AA44" s="256">
        <v>2</v>
      </c>
      <c r="AB44" s="256">
        <v>3</v>
      </c>
      <c r="AC44" s="256">
        <v>1</v>
      </c>
      <c r="AD44" s="256">
        <v>4</v>
      </c>
      <c r="AE44" s="256">
        <f t="shared" si="42"/>
        <v>9</v>
      </c>
      <c r="AF44" s="256">
        <f t="shared" si="43"/>
        <v>17</v>
      </c>
      <c r="AG44" s="261">
        <f t="shared" si="36"/>
        <v>0.23632066896927831</v>
      </c>
      <c r="AH44" s="256">
        <v>2</v>
      </c>
      <c r="AI44" s="256">
        <v>0</v>
      </c>
      <c r="AJ44" s="256">
        <v>4</v>
      </c>
      <c r="AK44" s="256">
        <v>0</v>
      </c>
      <c r="AL44" s="256">
        <v>0</v>
      </c>
      <c r="AM44" s="256">
        <f t="shared" si="44"/>
        <v>6</v>
      </c>
      <c r="AN44" s="261">
        <f t="shared" si="38"/>
        <v>5.453553899291038E-2</v>
      </c>
      <c r="AO44" s="256">
        <v>0</v>
      </c>
      <c r="AP44" s="256">
        <v>0</v>
      </c>
      <c r="AQ44" s="256">
        <v>1</v>
      </c>
      <c r="AR44" s="256">
        <v>0</v>
      </c>
      <c r="AS44" s="256">
        <v>0</v>
      </c>
      <c r="AT44" s="256">
        <f t="shared" si="49"/>
        <v>1</v>
      </c>
      <c r="AU44" s="263">
        <v>1</v>
      </c>
      <c r="AV44" s="263">
        <v>0</v>
      </c>
      <c r="AW44" s="263">
        <v>2</v>
      </c>
      <c r="AX44" s="263">
        <v>1</v>
      </c>
      <c r="AY44" s="263">
        <v>0</v>
      </c>
      <c r="AZ44" s="256">
        <f t="shared" si="46"/>
        <v>4</v>
      </c>
      <c r="BA44" s="263">
        <v>12</v>
      </c>
      <c r="BB44" s="263">
        <v>6</v>
      </c>
      <c r="BC44" s="263">
        <v>16</v>
      </c>
      <c r="BD44" s="263">
        <v>2</v>
      </c>
      <c r="BE44" s="263">
        <v>8</v>
      </c>
      <c r="BF44" s="256">
        <f t="shared" si="48"/>
        <v>44</v>
      </c>
      <c r="BG44" s="252"/>
      <c r="BH44" s="265"/>
      <c r="BI44" s="266"/>
      <c r="BJ44" s="254"/>
      <c r="BK44" s="254"/>
    </row>
    <row r="45" spans="1:63" ht="16.2" thickBot="1" x14ac:dyDescent="0.4">
      <c r="A45" s="296" t="s">
        <v>142</v>
      </c>
      <c r="B45" s="256">
        <v>27</v>
      </c>
      <c r="C45" s="256">
        <v>9</v>
      </c>
      <c r="D45" s="256">
        <v>1338</v>
      </c>
      <c r="E45" s="256">
        <v>46</v>
      </c>
      <c r="F45" s="258">
        <v>4</v>
      </c>
      <c r="G45" s="259">
        <f t="shared" ref="G45:G49" si="50">SUM(B45:F45)</f>
        <v>1424</v>
      </c>
      <c r="H45" s="260">
        <v>0</v>
      </c>
      <c r="I45" s="256">
        <v>0</v>
      </c>
      <c r="J45" s="256">
        <v>0</v>
      </c>
      <c r="K45" s="256">
        <v>0</v>
      </c>
      <c r="L45" s="256">
        <v>1</v>
      </c>
      <c r="M45" s="256">
        <v>0</v>
      </c>
      <c r="N45" s="256">
        <v>0</v>
      </c>
      <c r="O45" s="256">
        <v>0</v>
      </c>
      <c r="P45" s="256">
        <v>0</v>
      </c>
      <c r="Q45" s="256">
        <v>0</v>
      </c>
      <c r="R45" s="256">
        <f t="shared" si="40"/>
        <v>1</v>
      </c>
      <c r="S45" s="256">
        <f t="shared" si="41"/>
        <v>0</v>
      </c>
      <c r="T45" s="261">
        <f t="shared" si="33"/>
        <v>7.02247191011236E-2</v>
      </c>
      <c r="U45" s="256">
        <v>0</v>
      </c>
      <c r="V45" s="256">
        <v>0</v>
      </c>
      <c r="W45" s="256">
        <v>0</v>
      </c>
      <c r="X45" s="256">
        <v>0</v>
      </c>
      <c r="Y45" s="256">
        <v>0</v>
      </c>
      <c r="Z45" s="256">
        <v>0</v>
      </c>
      <c r="AA45" s="256">
        <v>0</v>
      </c>
      <c r="AB45" s="256">
        <v>0</v>
      </c>
      <c r="AC45" s="256">
        <v>0</v>
      </c>
      <c r="AD45" s="256">
        <v>0</v>
      </c>
      <c r="AE45" s="256">
        <f t="shared" si="42"/>
        <v>0</v>
      </c>
      <c r="AF45" s="256">
        <f t="shared" si="43"/>
        <v>0</v>
      </c>
      <c r="AG45" s="261">
        <f t="shared" si="36"/>
        <v>0</v>
      </c>
      <c r="AH45" s="256">
        <v>0</v>
      </c>
      <c r="AI45" s="256">
        <v>0</v>
      </c>
      <c r="AJ45" s="256">
        <v>0</v>
      </c>
      <c r="AK45" s="256">
        <v>0</v>
      </c>
      <c r="AL45" s="256">
        <v>0</v>
      </c>
      <c r="AM45" s="256">
        <f t="shared" si="44"/>
        <v>0</v>
      </c>
      <c r="AN45" s="261">
        <f t="shared" si="38"/>
        <v>0</v>
      </c>
      <c r="AO45" s="256">
        <v>0</v>
      </c>
      <c r="AP45" s="256">
        <v>0</v>
      </c>
      <c r="AQ45" s="256">
        <v>0</v>
      </c>
      <c r="AR45" s="256">
        <v>0</v>
      </c>
      <c r="AS45" s="256">
        <v>0</v>
      </c>
      <c r="AT45" s="256">
        <f t="shared" si="49"/>
        <v>0</v>
      </c>
      <c r="AU45" s="263">
        <v>0</v>
      </c>
      <c r="AV45" s="263">
        <v>0</v>
      </c>
      <c r="AW45" s="263">
        <v>0</v>
      </c>
      <c r="AX45" s="263">
        <v>0</v>
      </c>
      <c r="AY45" s="263">
        <v>0</v>
      </c>
      <c r="AZ45" s="256">
        <f t="shared" si="46"/>
        <v>0</v>
      </c>
      <c r="BA45" s="263">
        <v>0</v>
      </c>
      <c r="BB45" s="263">
        <v>0</v>
      </c>
      <c r="BC45" s="263">
        <v>0</v>
      </c>
      <c r="BD45" s="263">
        <v>0</v>
      </c>
      <c r="BE45" s="263">
        <v>0</v>
      </c>
      <c r="BF45" s="256">
        <f t="shared" si="48"/>
        <v>0</v>
      </c>
      <c r="BG45" s="252"/>
      <c r="BH45" s="265"/>
      <c r="BI45" s="266"/>
      <c r="BJ45" s="254"/>
      <c r="BK45" s="254"/>
    </row>
    <row r="46" spans="1:63" ht="16.2" thickBot="1" x14ac:dyDescent="0.4">
      <c r="A46" s="296" t="s">
        <v>143</v>
      </c>
      <c r="B46" s="256">
        <v>1244</v>
      </c>
      <c r="C46" s="256">
        <v>851</v>
      </c>
      <c r="D46" s="256">
        <v>1431</v>
      </c>
      <c r="E46" s="256">
        <v>1439</v>
      </c>
      <c r="F46" s="258">
        <v>1084</v>
      </c>
      <c r="G46" s="259">
        <f t="shared" si="50"/>
        <v>6049</v>
      </c>
      <c r="H46" s="260">
        <v>0</v>
      </c>
      <c r="I46" s="256">
        <v>0</v>
      </c>
      <c r="J46" s="256">
        <v>0</v>
      </c>
      <c r="K46" s="256">
        <v>4</v>
      </c>
      <c r="L46" s="256">
        <v>1</v>
      </c>
      <c r="M46" s="256">
        <v>3</v>
      </c>
      <c r="N46" s="256">
        <v>0</v>
      </c>
      <c r="O46" s="256">
        <v>0</v>
      </c>
      <c r="P46" s="256">
        <v>0</v>
      </c>
      <c r="Q46" s="256">
        <v>0</v>
      </c>
      <c r="R46" s="256">
        <f t="shared" si="40"/>
        <v>1</v>
      </c>
      <c r="S46" s="256">
        <f t="shared" si="41"/>
        <v>7</v>
      </c>
      <c r="T46" s="261">
        <f t="shared" si="33"/>
        <v>0.13225326500247975</v>
      </c>
      <c r="U46" s="256">
        <v>3</v>
      </c>
      <c r="V46" s="256">
        <v>4</v>
      </c>
      <c r="W46" s="256">
        <v>6</v>
      </c>
      <c r="X46" s="256">
        <v>4</v>
      </c>
      <c r="Y46" s="256">
        <v>2</v>
      </c>
      <c r="Z46" s="256">
        <v>6</v>
      </c>
      <c r="AA46" s="256">
        <v>4</v>
      </c>
      <c r="AB46" s="256">
        <v>1</v>
      </c>
      <c r="AC46" s="256">
        <v>2</v>
      </c>
      <c r="AD46" s="256">
        <v>1</v>
      </c>
      <c r="AE46" s="256">
        <f t="shared" si="42"/>
        <v>17</v>
      </c>
      <c r="AF46" s="256">
        <f t="shared" si="43"/>
        <v>16</v>
      </c>
      <c r="AG46" s="261">
        <f t="shared" si="36"/>
        <v>0.54554471813522898</v>
      </c>
      <c r="AH46" s="256">
        <v>5</v>
      </c>
      <c r="AI46" s="256">
        <v>1</v>
      </c>
      <c r="AJ46" s="256">
        <v>2</v>
      </c>
      <c r="AK46" s="256">
        <v>2</v>
      </c>
      <c r="AL46" s="256">
        <v>0</v>
      </c>
      <c r="AM46" s="256">
        <f t="shared" si="37"/>
        <v>10</v>
      </c>
      <c r="AN46" s="261">
        <f t="shared" si="38"/>
        <v>0.1653165812530997</v>
      </c>
      <c r="AO46" s="256">
        <v>0</v>
      </c>
      <c r="AP46" s="256">
        <v>1</v>
      </c>
      <c r="AQ46" s="256">
        <v>1</v>
      </c>
      <c r="AR46" s="256">
        <v>2</v>
      </c>
      <c r="AS46" s="256">
        <v>1</v>
      </c>
      <c r="AT46" s="256">
        <f t="shared" si="49"/>
        <v>5</v>
      </c>
      <c r="AU46" s="263">
        <v>1</v>
      </c>
      <c r="AV46" s="263">
        <v>1</v>
      </c>
      <c r="AW46" s="263">
        <v>1</v>
      </c>
      <c r="AX46" s="263">
        <v>1</v>
      </c>
      <c r="AY46" s="263">
        <v>0</v>
      </c>
      <c r="AZ46" s="256">
        <f t="shared" si="46"/>
        <v>4</v>
      </c>
      <c r="BA46" s="263">
        <v>19</v>
      </c>
      <c r="BB46" s="263">
        <v>8</v>
      </c>
      <c r="BC46" s="263">
        <v>24</v>
      </c>
      <c r="BD46" s="263">
        <v>9</v>
      </c>
      <c r="BE46" s="263">
        <v>6</v>
      </c>
      <c r="BF46" s="256">
        <f t="shared" si="48"/>
        <v>66</v>
      </c>
      <c r="BG46" s="252"/>
      <c r="BH46" s="265"/>
      <c r="BI46" s="266"/>
      <c r="BJ46" s="254"/>
      <c r="BK46" s="254"/>
    </row>
    <row r="47" spans="1:63" ht="16.2" thickBot="1" x14ac:dyDescent="0.4">
      <c r="A47" s="296" t="s">
        <v>144</v>
      </c>
      <c r="B47" s="256">
        <v>40</v>
      </c>
      <c r="C47" s="256">
        <v>19</v>
      </c>
      <c r="D47" s="256">
        <v>30</v>
      </c>
      <c r="E47" s="256">
        <v>60</v>
      </c>
      <c r="F47" s="258">
        <v>26</v>
      </c>
      <c r="G47" s="259">
        <f t="shared" si="50"/>
        <v>175</v>
      </c>
      <c r="H47" s="260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1</v>
      </c>
      <c r="N47" s="256">
        <v>0</v>
      </c>
      <c r="O47" s="256">
        <v>1</v>
      </c>
      <c r="P47" s="256">
        <v>0</v>
      </c>
      <c r="Q47" s="256">
        <v>0</v>
      </c>
      <c r="R47" s="256">
        <f t="shared" si="40"/>
        <v>0</v>
      </c>
      <c r="S47" s="256">
        <f t="shared" si="41"/>
        <v>2</v>
      </c>
      <c r="T47" s="261">
        <f t="shared" si="33"/>
        <v>1.1428571428571428</v>
      </c>
      <c r="U47" s="256">
        <v>0</v>
      </c>
      <c r="V47" s="256">
        <v>0</v>
      </c>
      <c r="W47" s="256">
        <v>0</v>
      </c>
      <c r="X47" s="256">
        <v>0</v>
      </c>
      <c r="Y47" s="256">
        <v>0</v>
      </c>
      <c r="Z47" s="256">
        <v>0</v>
      </c>
      <c r="AA47" s="256">
        <v>0</v>
      </c>
      <c r="AB47" s="256">
        <v>0</v>
      </c>
      <c r="AC47" s="256">
        <v>0</v>
      </c>
      <c r="AD47" s="256">
        <v>0</v>
      </c>
      <c r="AE47" s="256">
        <f t="shared" si="42"/>
        <v>0</v>
      </c>
      <c r="AF47" s="256">
        <f t="shared" si="43"/>
        <v>0</v>
      </c>
      <c r="AG47" s="261">
        <f t="shared" si="36"/>
        <v>0</v>
      </c>
      <c r="AH47" s="256">
        <v>0</v>
      </c>
      <c r="AI47" s="256">
        <v>0</v>
      </c>
      <c r="AJ47" s="256">
        <v>0</v>
      </c>
      <c r="AK47" s="256">
        <v>0</v>
      </c>
      <c r="AL47" s="256">
        <v>0</v>
      </c>
      <c r="AM47" s="256">
        <f t="shared" si="37"/>
        <v>0</v>
      </c>
      <c r="AN47" s="261">
        <f t="shared" si="38"/>
        <v>0</v>
      </c>
      <c r="AO47" s="256">
        <v>0</v>
      </c>
      <c r="AP47" s="256">
        <v>0</v>
      </c>
      <c r="AQ47" s="256">
        <v>0</v>
      </c>
      <c r="AR47" s="256">
        <v>0</v>
      </c>
      <c r="AS47" s="256">
        <v>0</v>
      </c>
      <c r="AT47" s="256">
        <f t="shared" si="49"/>
        <v>0</v>
      </c>
      <c r="AU47" s="263">
        <v>0</v>
      </c>
      <c r="AV47" s="263">
        <v>0</v>
      </c>
      <c r="AW47" s="263">
        <v>1</v>
      </c>
      <c r="AX47" s="263">
        <v>0</v>
      </c>
      <c r="AY47" s="263">
        <v>0</v>
      </c>
      <c r="AZ47" s="256">
        <f t="shared" ref="AZ47:AZ49" si="51">SUM(AU47:AY47)</f>
        <v>1</v>
      </c>
      <c r="BA47" s="263">
        <v>0</v>
      </c>
      <c r="BB47" s="263">
        <v>0</v>
      </c>
      <c r="BC47" s="263">
        <v>0</v>
      </c>
      <c r="BD47" s="263">
        <v>0</v>
      </c>
      <c r="BE47" s="263">
        <v>0</v>
      </c>
      <c r="BF47" s="256">
        <f t="shared" si="48"/>
        <v>0</v>
      </c>
      <c r="BG47" s="252"/>
      <c r="BH47" s="265"/>
      <c r="BI47" s="266"/>
      <c r="BJ47" s="254"/>
      <c r="BK47" s="254"/>
    </row>
    <row r="48" spans="1:63" ht="16.2" thickBot="1" x14ac:dyDescent="0.4">
      <c r="A48" s="296" t="s">
        <v>145</v>
      </c>
      <c r="B48" s="256">
        <v>508</v>
      </c>
      <c r="C48" s="256">
        <v>411</v>
      </c>
      <c r="D48" s="256">
        <v>856</v>
      </c>
      <c r="E48" s="256">
        <v>821</v>
      </c>
      <c r="F48" s="258">
        <v>549</v>
      </c>
      <c r="G48" s="259">
        <f t="shared" si="50"/>
        <v>3145</v>
      </c>
      <c r="H48" s="260">
        <v>2</v>
      </c>
      <c r="I48" s="256">
        <v>0</v>
      </c>
      <c r="J48" s="256">
        <v>2</v>
      </c>
      <c r="K48" s="256">
        <v>1</v>
      </c>
      <c r="L48" s="256">
        <v>2</v>
      </c>
      <c r="M48" s="256">
        <v>2</v>
      </c>
      <c r="N48" s="256">
        <v>0</v>
      </c>
      <c r="O48" s="256">
        <v>3</v>
      </c>
      <c r="P48" s="256">
        <v>0</v>
      </c>
      <c r="Q48" s="256">
        <v>2</v>
      </c>
      <c r="R48" s="256">
        <f t="shared" si="40"/>
        <v>6</v>
      </c>
      <c r="S48" s="256">
        <f t="shared" si="41"/>
        <v>8</v>
      </c>
      <c r="T48" s="261">
        <f t="shared" si="33"/>
        <v>0.4451510333863275</v>
      </c>
      <c r="U48" s="256">
        <v>1</v>
      </c>
      <c r="V48" s="256">
        <v>1</v>
      </c>
      <c r="W48" s="256">
        <v>0</v>
      </c>
      <c r="X48" s="256">
        <v>1</v>
      </c>
      <c r="Y48" s="256">
        <v>1</v>
      </c>
      <c r="Z48" s="256">
        <v>1</v>
      </c>
      <c r="AA48" s="256">
        <v>0</v>
      </c>
      <c r="AB48" s="256">
        <v>2</v>
      </c>
      <c r="AC48" s="256">
        <v>1</v>
      </c>
      <c r="AD48" s="256">
        <v>1</v>
      </c>
      <c r="AE48" s="256">
        <f t="shared" si="42"/>
        <v>3</v>
      </c>
      <c r="AF48" s="256">
        <f t="shared" si="43"/>
        <v>6</v>
      </c>
      <c r="AG48" s="261">
        <f t="shared" si="36"/>
        <v>0.2861685214626391</v>
      </c>
      <c r="AH48" s="256">
        <v>0</v>
      </c>
      <c r="AI48" s="256">
        <v>0</v>
      </c>
      <c r="AJ48" s="256">
        <v>2</v>
      </c>
      <c r="AK48" s="256">
        <v>1</v>
      </c>
      <c r="AL48" s="256">
        <v>0</v>
      </c>
      <c r="AM48" s="256">
        <f t="shared" si="37"/>
        <v>3</v>
      </c>
      <c r="AN48" s="261">
        <f t="shared" si="38"/>
        <v>9.5389507154213043E-2</v>
      </c>
      <c r="AO48" s="256">
        <v>0</v>
      </c>
      <c r="AP48" s="256">
        <v>0</v>
      </c>
      <c r="AQ48" s="256">
        <v>1</v>
      </c>
      <c r="AR48" s="256">
        <v>1</v>
      </c>
      <c r="AS48" s="256">
        <v>0</v>
      </c>
      <c r="AT48" s="256">
        <f t="shared" si="49"/>
        <v>2</v>
      </c>
      <c r="AU48" s="263">
        <v>0</v>
      </c>
      <c r="AV48" s="263">
        <v>0</v>
      </c>
      <c r="AW48" s="263">
        <v>1</v>
      </c>
      <c r="AX48" s="263">
        <v>1</v>
      </c>
      <c r="AY48" s="263">
        <v>1</v>
      </c>
      <c r="AZ48" s="256">
        <f t="shared" si="51"/>
        <v>3</v>
      </c>
      <c r="BA48" s="263">
        <v>5</v>
      </c>
      <c r="BB48" s="263">
        <v>1</v>
      </c>
      <c r="BC48" s="263">
        <v>6</v>
      </c>
      <c r="BD48" s="263">
        <v>4</v>
      </c>
      <c r="BE48" s="263">
        <v>2</v>
      </c>
      <c r="BF48" s="256">
        <f t="shared" si="48"/>
        <v>18</v>
      </c>
      <c r="BG48" s="252"/>
      <c r="BH48" s="265"/>
      <c r="BI48" s="266"/>
      <c r="BJ48" s="254"/>
      <c r="BK48" s="254"/>
    </row>
    <row r="49" spans="1:63" ht="30.45" customHeight="1" thickBot="1" x14ac:dyDescent="0.4">
      <c r="A49" s="297" t="s">
        <v>146</v>
      </c>
      <c r="B49" s="256">
        <v>93067</v>
      </c>
      <c r="C49" s="256">
        <v>64050</v>
      </c>
      <c r="D49" s="256">
        <v>141138</v>
      </c>
      <c r="E49" s="256">
        <v>117295</v>
      </c>
      <c r="F49" s="258">
        <v>71287</v>
      </c>
      <c r="G49" s="259">
        <f t="shared" si="50"/>
        <v>486837</v>
      </c>
      <c r="H49" s="260">
        <v>53</v>
      </c>
      <c r="I49" s="256">
        <v>134</v>
      </c>
      <c r="J49" s="256">
        <v>27</v>
      </c>
      <c r="K49" s="256">
        <v>59</v>
      </c>
      <c r="L49" s="256">
        <v>70</v>
      </c>
      <c r="M49" s="256">
        <v>207</v>
      </c>
      <c r="N49" s="256">
        <v>42</v>
      </c>
      <c r="O49" s="256">
        <v>121</v>
      </c>
      <c r="P49" s="256">
        <v>26</v>
      </c>
      <c r="Q49" s="256">
        <v>41</v>
      </c>
      <c r="R49" s="256">
        <f t="shared" si="40"/>
        <v>218</v>
      </c>
      <c r="S49" s="256">
        <f t="shared" si="41"/>
        <v>562</v>
      </c>
      <c r="T49" s="261">
        <f t="shared" si="33"/>
        <v>0.16021789633902106</v>
      </c>
      <c r="U49" s="256">
        <v>53</v>
      </c>
      <c r="V49" s="256">
        <v>157</v>
      </c>
      <c r="W49" s="256">
        <v>17</v>
      </c>
      <c r="X49" s="256">
        <v>59</v>
      </c>
      <c r="Y49" s="256">
        <v>88</v>
      </c>
      <c r="Z49" s="256">
        <v>183</v>
      </c>
      <c r="AA49" s="256">
        <v>48</v>
      </c>
      <c r="AB49" s="256">
        <v>129</v>
      </c>
      <c r="AC49" s="256">
        <v>30</v>
      </c>
      <c r="AD49" s="256">
        <v>39</v>
      </c>
      <c r="AE49" s="256">
        <f t="shared" si="42"/>
        <v>236</v>
      </c>
      <c r="AF49" s="256">
        <f t="shared" si="43"/>
        <v>567</v>
      </c>
      <c r="AG49" s="261">
        <f t="shared" si="36"/>
        <v>0.16494227020542809</v>
      </c>
      <c r="AH49" s="256">
        <v>231</v>
      </c>
      <c r="AI49" s="256">
        <v>17</v>
      </c>
      <c r="AJ49" s="256">
        <v>109</v>
      </c>
      <c r="AK49" s="256">
        <v>44</v>
      </c>
      <c r="AL49" s="256">
        <v>8</v>
      </c>
      <c r="AM49" s="256">
        <f t="shared" si="37"/>
        <v>409</v>
      </c>
      <c r="AN49" s="261">
        <f t="shared" si="38"/>
        <v>8.4011691798281565E-2</v>
      </c>
      <c r="AO49" s="256">
        <v>64</v>
      </c>
      <c r="AP49" s="256">
        <v>27</v>
      </c>
      <c r="AQ49" s="256">
        <v>25</v>
      </c>
      <c r="AR49" s="256">
        <v>47</v>
      </c>
      <c r="AS49" s="256">
        <v>16</v>
      </c>
      <c r="AT49" s="256">
        <f t="shared" si="49"/>
        <v>179</v>
      </c>
      <c r="AU49" s="263">
        <v>16</v>
      </c>
      <c r="AV49" s="263">
        <v>15</v>
      </c>
      <c r="AW49" s="263">
        <v>52</v>
      </c>
      <c r="AX49" s="263">
        <v>26</v>
      </c>
      <c r="AY49" s="263">
        <v>8</v>
      </c>
      <c r="AZ49" s="256">
        <f t="shared" si="51"/>
        <v>117</v>
      </c>
      <c r="BA49" s="263">
        <v>659</v>
      </c>
      <c r="BB49" s="263">
        <v>223</v>
      </c>
      <c r="BC49" s="263">
        <v>743</v>
      </c>
      <c r="BD49" s="263">
        <v>362</v>
      </c>
      <c r="BE49" s="263">
        <v>570</v>
      </c>
      <c r="BF49" s="256">
        <f t="shared" si="48"/>
        <v>2557</v>
      </c>
      <c r="BG49" s="252"/>
      <c r="BH49" s="265"/>
      <c r="BI49" s="266"/>
      <c r="BJ49" s="254"/>
      <c r="BK49" s="254"/>
    </row>
    <row r="50" spans="1:63" s="240" customFormat="1" ht="16.2" thickBot="1" x14ac:dyDescent="0.4">
      <c r="A50" s="295" t="s">
        <v>21</v>
      </c>
      <c r="B50" s="274">
        <f t="shared" ref="B50:H50" si="52">SUM(B32:B49)</f>
        <v>114235</v>
      </c>
      <c r="C50" s="274">
        <f t="shared" si="52"/>
        <v>80955</v>
      </c>
      <c r="D50" s="274">
        <f t="shared" si="52"/>
        <v>178875</v>
      </c>
      <c r="E50" s="274">
        <f t="shared" si="52"/>
        <v>145413</v>
      </c>
      <c r="F50" s="275">
        <f t="shared" si="52"/>
        <v>94290</v>
      </c>
      <c r="G50" s="272">
        <f t="shared" si="52"/>
        <v>613768</v>
      </c>
      <c r="H50" s="273">
        <f t="shared" si="52"/>
        <v>75</v>
      </c>
      <c r="I50" s="274">
        <f t="shared" ref="I50:Q50" si="53">SUM(I32:I49)</f>
        <v>173</v>
      </c>
      <c r="J50" s="274">
        <f t="shared" si="53"/>
        <v>44</v>
      </c>
      <c r="K50" s="274">
        <f t="shared" si="53"/>
        <v>94</v>
      </c>
      <c r="L50" s="274">
        <f t="shared" si="53"/>
        <v>113</v>
      </c>
      <c r="M50" s="274">
        <f t="shared" si="53"/>
        <v>303</v>
      </c>
      <c r="N50" s="274">
        <f t="shared" si="53"/>
        <v>71</v>
      </c>
      <c r="O50" s="274">
        <f t="shared" si="53"/>
        <v>165</v>
      </c>
      <c r="P50" s="274">
        <f t="shared" si="53"/>
        <v>68</v>
      </c>
      <c r="Q50" s="274">
        <f t="shared" si="53"/>
        <v>74</v>
      </c>
      <c r="R50" s="276">
        <f>SUM(R32:R49)</f>
        <v>371</v>
      </c>
      <c r="S50" s="276">
        <f>SUM(S32:S49)</f>
        <v>809</v>
      </c>
      <c r="T50" s="278">
        <f t="shared" si="33"/>
        <v>0.19225505402692875</v>
      </c>
      <c r="U50" s="274">
        <f>SUM(U32:U49)</f>
        <v>88</v>
      </c>
      <c r="V50" s="274">
        <f t="shared" ref="V50:AD50" si="54">SUM(V32:V49)</f>
        <v>202</v>
      </c>
      <c r="W50" s="274">
        <f t="shared" si="54"/>
        <v>39</v>
      </c>
      <c r="X50" s="274">
        <f t="shared" si="54"/>
        <v>88</v>
      </c>
      <c r="Y50" s="274">
        <f t="shared" si="54"/>
        <v>135</v>
      </c>
      <c r="Z50" s="274">
        <f t="shared" si="54"/>
        <v>268</v>
      </c>
      <c r="AA50" s="274">
        <f t="shared" si="54"/>
        <v>80</v>
      </c>
      <c r="AB50" s="274">
        <f t="shared" si="54"/>
        <v>174</v>
      </c>
      <c r="AC50" s="274">
        <f t="shared" si="54"/>
        <v>56</v>
      </c>
      <c r="AD50" s="274">
        <f t="shared" si="54"/>
        <v>67</v>
      </c>
      <c r="AE50" s="276">
        <f>SUM(AE32:AE49)</f>
        <v>398</v>
      </c>
      <c r="AF50" s="276">
        <f>SUM(AF32:AF49)</f>
        <v>799</v>
      </c>
      <c r="AG50" s="278">
        <f t="shared" si="36"/>
        <v>0.19502483022901163</v>
      </c>
      <c r="AH50" s="274">
        <f t="shared" ref="AH50:AM50" si="55">SUM(AH32:AH49)</f>
        <v>283</v>
      </c>
      <c r="AI50" s="274">
        <f t="shared" si="55"/>
        <v>28</v>
      </c>
      <c r="AJ50" s="274">
        <f t="shared" si="55"/>
        <v>152</v>
      </c>
      <c r="AK50" s="274">
        <f t="shared" si="55"/>
        <v>62</v>
      </c>
      <c r="AL50" s="274">
        <f t="shared" si="55"/>
        <v>19</v>
      </c>
      <c r="AM50" s="276">
        <f t="shared" si="55"/>
        <v>544</v>
      </c>
      <c r="AN50" s="278">
        <f t="shared" si="38"/>
        <v>8.8632838466651889E-2</v>
      </c>
      <c r="AO50" s="274">
        <f t="shared" ref="AO50:BE50" si="56">SUM(AO32:AO49)</f>
        <v>82</v>
      </c>
      <c r="AP50" s="274">
        <f t="shared" si="56"/>
        <v>54</v>
      </c>
      <c r="AQ50" s="274">
        <f t="shared" si="56"/>
        <v>37</v>
      </c>
      <c r="AR50" s="274">
        <f t="shared" si="56"/>
        <v>67</v>
      </c>
      <c r="AS50" s="274">
        <f t="shared" si="56"/>
        <v>33</v>
      </c>
      <c r="AT50" s="281">
        <f t="shared" si="56"/>
        <v>273</v>
      </c>
      <c r="AU50" s="274">
        <f t="shared" si="56"/>
        <v>27</v>
      </c>
      <c r="AV50" s="274">
        <f t="shared" si="56"/>
        <v>22</v>
      </c>
      <c r="AW50" s="274">
        <f t="shared" si="56"/>
        <v>99</v>
      </c>
      <c r="AX50" s="274">
        <f t="shared" si="56"/>
        <v>43</v>
      </c>
      <c r="AY50" s="274">
        <f t="shared" si="56"/>
        <v>16</v>
      </c>
      <c r="AZ50" s="281">
        <f t="shared" si="56"/>
        <v>207</v>
      </c>
      <c r="BA50" s="274">
        <f t="shared" si="56"/>
        <v>872</v>
      </c>
      <c r="BB50" s="274">
        <f t="shared" si="56"/>
        <v>329</v>
      </c>
      <c r="BC50" s="274">
        <f t="shared" si="56"/>
        <v>1012</v>
      </c>
      <c r="BD50" s="274">
        <f t="shared" si="56"/>
        <v>490</v>
      </c>
      <c r="BE50" s="274">
        <f t="shared" si="56"/>
        <v>663</v>
      </c>
      <c r="BF50" s="298">
        <f>SUM(BF32:BF49)</f>
        <v>3366</v>
      </c>
      <c r="BG50" s="252"/>
      <c r="BH50" s="265"/>
      <c r="BI50" s="266"/>
      <c r="BJ50" s="252"/>
      <c r="BK50" s="252"/>
    </row>
    <row r="51" spans="1:63" s="240" customFormat="1" ht="16.2" thickBot="1" x14ac:dyDescent="0.4">
      <c r="A51" s="282" t="s">
        <v>171</v>
      </c>
      <c r="B51" s="284"/>
      <c r="C51" s="284"/>
      <c r="D51" s="284"/>
      <c r="E51" s="283"/>
      <c r="F51" s="283"/>
      <c r="G51" s="283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78">
        <f>R50/$G$50*100</f>
        <v>6.0446292410161494E-2</v>
      </c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278">
        <f>AE50/$G$50*100</f>
        <v>6.484534873111665E-2</v>
      </c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252"/>
      <c r="BH51" s="265"/>
      <c r="BI51" s="266"/>
      <c r="BJ51" s="252"/>
      <c r="BK51" s="252"/>
    </row>
    <row r="52" spans="1:63" ht="15.6" x14ac:dyDescent="0.35">
      <c r="A52" s="247"/>
      <c r="B52" s="291"/>
      <c r="C52" s="291"/>
      <c r="D52" s="291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52"/>
      <c r="BH52" s="265"/>
      <c r="BI52" s="266"/>
      <c r="BJ52" s="254"/>
      <c r="BK52" s="254"/>
    </row>
    <row r="53" spans="1:63" ht="16.2" thickBot="1" x14ac:dyDescent="0.4">
      <c r="A53" s="247" t="s">
        <v>28</v>
      </c>
      <c r="B53" s="291"/>
      <c r="C53" s="291"/>
      <c r="D53" s="291"/>
      <c r="E53" s="291"/>
      <c r="F53" s="291"/>
      <c r="G53" s="284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52"/>
      <c r="BH53" s="265"/>
      <c r="BI53" s="266"/>
      <c r="BJ53" s="254"/>
      <c r="BK53" s="254"/>
    </row>
    <row r="54" spans="1:63" ht="16.2" thickBot="1" x14ac:dyDescent="0.4">
      <c r="A54" s="255" t="s">
        <v>40</v>
      </c>
      <c r="B54" s="256">
        <v>460</v>
      </c>
      <c r="C54" s="256">
        <v>174</v>
      </c>
      <c r="D54" s="292">
        <v>545</v>
      </c>
      <c r="E54" s="256">
        <v>324</v>
      </c>
      <c r="F54" s="258">
        <v>223</v>
      </c>
      <c r="G54" s="259">
        <f>SUM(B54:F54)</f>
        <v>1726</v>
      </c>
      <c r="H54" s="260">
        <v>0</v>
      </c>
      <c r="I54" s="256">
        <v>1</v>
      </c>
      <c r="J54" s="256">
        <v>0</v>
      </c>
      <c r="K54" s="256">
        <v>1</v>
      </c>
      <c r="L54" s="256">
        <v>1</v>
      </c>
      <c r="M54" s="256">
        <v>8</v>
      </c>
      <c r="N54" s="256">
        <v>0</v>
      </c>
      <c r="O54" s="256">
        <v>0</v>
      </c>
      <c r="P54" s="299">
        <v>1</v>
      </c>
      <c r="Q54" s="299">
        <v>4</v>
      </c>
      <c r="R54" s="256">
        <f t="shared" ref="R54" si="57">H54+J54+L54+N54+P54</f>
        <v>2</v>
      </c>
      <c r="S54" s="256">
        <f t="shared" ref="S54" si="58">I54+K54+M54+O54+Q54</f>
        <v>14</v>
      </c>
      <c r="T54" s="261">
        <f>(R54+S54)*100/G54</f>
        <v>0.92699884125144849</v>
      </c>
      <c r="U54" s="256">
        <v>0</v>
      </c>
      <c r="V54" s="256">
        <v>0</v>
      </c>
      <c r="W54" s="256">
        <v>0</v>
      </c>
      <c r="X54" s="256">
        <v>1</v>
      </c>
      <c r="Y54" s="256">
        <v>0</v>
      </c>
      <c r="Z54" s="256">
        <v>2</v>
      </c>
      <c r="AA54" s="256">
        <v>0</v>
      </c>
      <c r="AB54" s="256">
        <v>1</v>
      </c>
      <c r="AC54" s="256">
        <v>1</v>
      </c>
      <c r="AD54" s="256">
        <v>2</v>
      </c>
      <c r="AE54" s="256">
        <f t="shared" ref="AE54" si="59">U54+W54+Y54+AA54+AC54</f>
        <v>1</v>
      </c>
      <c r="AF54" s="256">
        <f t="shared" ref="AF54" si="60">V54+X54+Z54+AB54+AD54</f>
        <v>6</v>
      </c>
      <c r="AG54" s="261">
        <f>(AE54+AF54)*100/G54</f>
        <v>0.40556199304750867</v>
      </c>
      <c r="AH54" s="300">
        <v>1</v>
      </c>
      <c r="AI54" s="300">
        <v>0</v>
      </c>
      <c r="AJ54" s="300">
        <v>0</v>
      </c>
      <c r="AK54" s="300">
        <v>0</v>
      </c>
      <c r="AL54" s="300">
        <v>0</v>
      </c>
      <c r="AM54" s="263">
        <f>SUM(AH54:AL54)</f>
        <v>1</v>
      </c>
      <c r="AN54" s="261">
        <f>AM54*100/G54</f>
        <v>5.7937427578215531E-2</v>
      </c>
      <c r="AO54" s="300">
        <v>1</v>
      </c>
      <c r="AP54" s="300">
        <v>1</v>
      </c>
      <c r="AQ54" s="300">
        <v>0</v>
      </c>
      <c r="AR54" s="300">
        <v>0</v>
      </c>
      <c r="AS54" s="300">
        <v>0</v>
      </c>
      <c r="AT54" s="256">
        <f>SUM(AO54:AS54)</f>
        <v>2</v>
      </c>
      <c r="AU54" s="263">
        <v>0</v>
      </c>
      <c r="AV54" s="263">
        <v>0</v>
      </c>
      <c r="AW54" s="263">
        <v>2</v>
      </c>
      <c r="AX54" s="263">
        <v>0</v>
      </c>
      <c r="AY54" s="263">
        <v>0</v>
      </c>
      <c r="AZ54" s="256">
        <f>SUM(AU54:AY54)</f>
        <v>2</v>
      </c>
      <c r="BA54" s="263">
        <v>3</v>
      </c>
      <c r="BB54" s="263">
        <v>0</v>
      </c>
      <c r="BC54" s="263">
        <v>0</v>
      </c>
      <c r="BD54" s="263">
        <v>1</v>
      </c>
      <c r="BE54" s="263">
        <v>0</v>
      </c>
      <c r="BF54" s="256">
        <f>SUM(BA54:BE54)</f>
        <v>4</v>
      </c>
      <c r="BG54" s="252"/>
      <c r="BH54" s="265"/>
      <c r="BI54" s="266"/>
      <c r="BJ54" s="254"/>
      <c r="BK54" s="254"/>
    </row>
    <row r="55" spans="1:63" ht="16.2" thickBot="1" x14ac:dyDescent="0.4">
      <c r="A55" s="255" t="s">
        <v>27</v>
      </c>
      <c r="B55" s="256">
        <v>105182</v>
      </c>
      <c r="C55" s="256">
        <v>49625</v>
      </c>
      <c r="D55" s="292">
        <v>51176</v>
      </c>
      <c r="E55" s="256">
        <v>78239</v>
      </c>
      <c r="F55" s="258">
        <v>75741</v>
      </c>
      <c r="G55" s="259">
        <f>SUM(B55:F55)</f>
        <v>359963</v>
      </c>
      <c r="H55" s="260">
        <v>2</v>
      </c>
      <c r="I55" s="256">
        <v>30</v>
      </c>
      <c r="J55" s="256">
        <v>5</v>
      </c>
      <c r="K55" s="256">
        <v>13</v>
      </c>
      <c r="L55" s="256">
        <v>2</v>
      </c>
      <c r="M55" s="256">
        <v>57</v>
      </c>
      <c r="N55" s="256">
        <v>14</v>
      </c>
      <c r="O55" s="256">
        <v>47</v>
      </c>
      <c r="P55" s="256">
        <v>8</v>
      </c>
      <c r="Q55" s="256">
        <v>10</v>
      </c>
      <c r="R55" s="256">
        <f t="shared" ref="R55" si="61">H55+J55+L55+N55+P55</f>
        <v>31</v>
      </c>
      <c r="S55" s="256">
        <f t="shared" ref="S55" si="62">I55+K55+M55+O55+Q55</f>
        <v>157</v>
      </c>
      <c r="T55" s="261">
        <f>(R55+S55)*100/G55</f>
        <v>5.2227590057867056E-2</v>
      </c>
      <c r="U55" s="256">
        <v>0</v>
      </c>
      <c r="V55" s="256">
        <v>7</v>
      </c>
      <c r="W55" s="256">
        <v>4</v>
      </c>
      <c r="X55" s="256">
        <v>9</v>
      </c>
      <c r="Y55" s="256">
        <v>10</v>
      </c>
      <c r="Z55" s="256">
        <v>24</v>
      </c>
      <c r="AA55" s="256">
        <v>9</v>
      </c>
      <c r="AB55" s="256">
        <v>13</v>
      </c>
      <c r="AC55" s="256">
        <v>11</v>
      </c>
      <c r="AD55" s="256">
        <v>6</v>
      </c>
      <c r="AE55" s="256">
        <f t="shared" ref="AE55" si="63">U55+W55+Y55+AA55+AC55</f>
        <v>34</v>
      </c>
      <c r="AF55" s="256">
        <f t="shared" ref="AF55" si="64">V55+X55+Z55+AB55+AD55</f>
        <v>59</v>
      </c>
      <c r="AG55" s="261">
        <f>(AE55+AF55)*100/G55</f>
        <v>2.5835988698838491E-2</v>
      </c>
      <c r="AH55" s="292">
        <v>15</v>
      </c>
      <c r="AI55" s="292">
        <v>4</v>
      </c>
      <c r="AJ55" s="263">
        <v>10</v>
      </c>
      <c r="AK55" s="263">
        <v>1</v>
      </c>
      <c r="AL55" s="263">
        <v>1</v>
      </c>
      <c r="AM55" s="256">
        <f>SUM(AH55:AL55)</f>
        <v>31</v>
      </c>
      <c r="AN55" s="261">
        <f>AM55*100/G55</f>
        <v>8.6119962329461643E-3</v>
      </c>
      <c r="AO55" s="292">
        <v>3</v>
      </c>
      <c r="AP55" s="292">
        <v>1</v>
      </c>
      <c r="AQ55" s="300">
        <v>2</v>
      </c>
      <c r="AR55" s="300">
        <v>7</v>
      </c>
      <c r="AS55" s="300">
        <v>0</v>
      </c>
      <c r="AT55" s="256">
        <f>SUM(AO55:AS55)</f>
        <v>13</v>
      </c>
      <c r="AU55" s="263">
        <v>0</v>
      </c>
      <c r="AV55" s="263">
        <v>3</v>
      </c>
      <c r="AW55" s="263">
        <v>22</v>
      </c>
      <c r="AX55" s="263">
        <v>4</v>
      </c>
      <c r="AY55" s="263">
        <v>1</v>
      </c>
      <c r="AZ55" s="256">
        <f>SUM(AU55:AY55)</f>
        <v>30</v>
      </c>
      <c r="BA55" s="263">
        <v>51</v>
      </c>
      <c r="BB55" s="263">
        <v>12</v>
      </c>
      <c r="BC55" s="263">
        <v>76</v>
      </c>
      <c r="BD55" s="263">
        <v>31</v>
      </c>
      <c r="BE55" s="263">
        <v>25</v>
      </c>
      <c r="BF55" s="256">
        <f>SUM(BA55:BE55)</f>
        <v>195</v>
      </c>
      <c r="BG55" s="252"/>
      <c r="BH55" s="265"/>
      <c r="BI55" s="266"/>
      <c r="BJ55" s="254"/>
      <c r="BK55" s="254"/>
    </row>
    <row r="56" spans="1:63" s="240" customFormat="1" ht="16.2" thickBot="1" x14ac:dyDescent="0.4">
      <c r="A56" s="295" t="s">
        <v>21</v>
      </c>
      <c r="B56" s="274">
        <f t="shared" ref="B56:G56" si="65">SUM(B54:B55)</f>
        <v>105642</v>
      </c>
      <c r="C56" s="274">
        <f t="shared" si="65"/>
        <v>49799</v>
      </c>
      <c r="D56" s="274">
        <f t="shared" si="65"/>
        <v>51721</v>
      </c>
      <c r="E56" s="274">
        <f t="shared" si="65"/>
        <v>78563</v>
      </c>
      <c r="F56" s="275">
        <f t="shared" si="65"/>
        <v>75964</v>
      </c>
      <c r="G56" s="272">
        <f t="shared" si="65"/>
        <v>361689</v>
      </c>
      <c r="H56" s="301">
        <f>SUM(H54:H55)</f>
        <v>2</v>
      </c>
      <c r="I56" s="302">
        <v>0</v>
      </c>
      <c r="J56" s="302">
        <f t="shared" ref="J56:S56" si="66">SUM(J54:J55)</f>
        <v>5</v>
      </c>
      <c r="K56" s="302">
        <f t="shared" si="66"/>
        <v>14</v>
      </c>
      <c r="L56" s="302">
        <f t="shared" si="66"/>
        <v>3</v>
      </c>
      <c r="M56" s="302">
        <f t="shared" si="66"/>
        <v>65</v>
      </c>
      <c r="N56" s="302">
        <f t="shared" si="66"/>
        <v>14</v>
      </c>
      <c r="O56" s="302">
        <f t="shared" si="66"/>
        <v>47</v>
      </c>
      <c r="P56" s="302">
        <f t="shared" si="66"/>
        <v>9</v>
      </c>
      <c r="Q56" s="302">
        <f t="shared" si="66"/>
        <v>14</v>
      </c>
      <c r="R56" s="276">
        <f t="shared" si="66"/>
        <v>33</v>
      </c>
      <c r="S56" s="276">
        <f t="shared" si="66"/>
        <v>171</v>
      </c>
      <c r="T56" s="278">
        <f>(R56+S56)*100/G56</f>
        <v>5.6402047062531623E-2</v>
      </c>
      <c r="U56" s="302">
        <f t="shared" ref="U56:AF56" si="67">SUM(U54:U55)</f>
        <v>0</v>
      </c>
      <c r="V56" s="302">
        <f t="shared" si="67"/>
        <v>7</v>
      </c>
      <c r="W56" s="302">
        <f t="shared" si="67"/>
        <v>4</v>
      </c>
      <c r="X56" s="302">
        <f t="shared" si="67"/>
        <v>10</v>
      </c>
      <c r="Y56" s="302">
        <f t="shared" si="67"/>
        <v>10</v>
      </c>
      <c r="Z56" s="302">
        <f t="shared" si="67"/>
        <v>26</v>
      </c>
      <c r="AA56" s="302">
        <f t="shared" si="67"/>
        <v>9</v>
      </c>
      <c r="AB56" s="302">
        <f t="shared" si="67"/>
        <v>14</v>
      </c>
      <c r="AC56" s="302">
        <f t="shared" si="67"/>
        <v>12</v>
      </c>
      <c r="AD56" s="302">
        <f t="shared" si="67"/>
        <v>8</v>
      </c>
      <c r="AE56" s="276">
        <f t="shared" si="67"/>
        <v>35</v>
      </c>
      <c r="AF56" s="276">
        <f t="shared" si="67"/>
        <v>65</v>
      </c>
      <c r="AG56" s="278">
        <f>(AE56+AF56)*100/G56</f>
        <v>2.7648062285554716E-2</v>
      </c>
      <c r="AH56" s="302">
        <f t="shared" ref="AH56:AT56" si="68">SUM(AH54:AH55)</f>
        <v>16</v>
      </c>
      <c r="AI56" s="302">
        <f t="shared" si="68"/>
        <v>4</v>
      </c>
      <c r="AJ56" s="302">
        <f t="shared" si="68"/>
        <v>10</v>
      </c>
      <c r="AK56" s="302">
        <f t="shared" si="68"/>
        <v>1</v>
      </c>
      <c r="AL56" s="302">
        <f t="shared" si="68"/>
        <v>1</v>
      </c>
      <c r="AM56" s="276">
        <f t="shared" si="68"/>
        <v>32</v>
      </c>
      <c r="AN56" s="278">
        <f t="shared" si="68"/>
        <v>6.654942381116169E-2</v>
      </c>
      <c r="AO56" s="302">
        <f t="shared" si="68"/>
        <v>4</v>
      </c>
      <c r="AP56" s="302">
        <f t="shared" si="68"/>
        <v>2</v>
      </c>
      <c r="AQ56" s="302">
        <f t="shared" si="68"/>
        <v>2</v>
      </c>
      <c r="AR56" s="302">
        <f t="shared" si="68"/>
        <v>7</v>
      </c>
      <c r="AS56" s="302">
        <f t="shared" si="68"/>
        <v>0</v>
      </c>
      <c r="AT56" s="281">
        <f t="shared" si="68"/>
        <v>15</v>
      </c>
      <c r="AU56" s="274">
        <f t="shared" ref="AU56:BF56" si="69">SUM(AU54:AU55)</f>
        <v>0</v>
      </c>
      <c r="AV56" s="274">
        <f t="shared" si="69"/>
        <v>3</v>
      </c>
      <c r="AW56" s="274">
        <f t="shared" si="69"/>
        <v>24</v>
      </c>
      <c r="AX56" s="274">
        <f t="shared" si="69"/>
        <v>4</v>
      </c>
      <c r="AY56" s="274">
        <f t="shared" si="69"/>
        <v>1</v>
      </c>
      <c r="AZ56" s="281">
        <f t="shared" si="69"/>
        <v>32</v>
      </c>
      <c r="BA56" s="302">
        <f t="shared" si="69"/>
        <v>54</v>
      </c>
      <c r="BB56" s="302">
        <f t="shared" si="69"/>
        <v>12</v>
      </c>
      <c r="BC56" s="302">
        <f t="shared" si="69"/>
        <v>76</v>
      </c>
      <c r="BD56" s="302">
        <f t="shared" si="69"/>
        <v>32</v>
      </c>
      <c r="BE56" s="302">
        <f t="shared" si="69"/>
        <v>25</v>
      </c>
      <c r="BF56" s="281">
        <f t="shared" si="69"/>
        <v>199</v>
      </c>
      <c r="BG56" s="252"/>
      <c r="BH56" s="265"/>
      <c r="BI56" s="266"/>
      <c r="BJ56" s="252"/>
      <c r="BK56" s="252"/>
    </row>
    <row r="57" spans="1:63" s="240" customFormat="1" ht="16.2" thickBot="1" x14ac:dyDescent="0.4">
      <c r="A57" s="282" t="s">
        <v>171</v>
      </c>
      <c r="B57" s="283"/>
      <c r="C57" s="283"/>
      <c r="D57" s="283"/>
      <c r="E57" s="283"/>
      <c r="F57" s="283"/>
      <c r="G57" s="283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78">
        <f>R56/$G$56*100</f>
        <v>9.1238605542330563E-3</v>
      </c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278">
        <f>AE56/$G$56*100</f>
        <v>9.6768217999441495E-3</v>
      </c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252"/>
      <c r="BH57" s="265"/>
      <c r="BI57" s="266"/>
      <c r="BJ57" s="252"/>
      <c r="BK57" s="252"/>
    </row>
    <row r="58" spans="1:63" s="240" customFormat="1" ht="16.2" thickBot="1" x14ac:dyDescent="0.4">
      <c r="A58" s="247"/>
      <c r="B58" s="291"/>
      <c r="C58" s="291"/>
      <c r="D58" s="291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52"/>
      <c r="BH58" s="265"/>
      <c r="BI58" s="266"/>
      <c r="BJ58" s="252"/>
      <c r="BK58" s="252"/>
    </row>
    <row r="59" spans="1:63" s="311" customFormat="1" ht="18" thickBot="1" x14ac:dyDescent="0.45">
      <c r="A59" s="303" t="s">
        <v>48</v>
      </c>
      <c r="B59" s="304">
        <f t="shared" ref="B59:G59" si="70">B13+B28+B50+B56</f>
        <v>222605</v>
      </c>
      <c r="C59" s="305">
        <f t="shared" si="70"/>
        <v>132127</v>
      </c>
      <c r="D59" s="304">
        <f t="shared" si="70"/>
        <v>234987</v>
      </c>
      <c r="E59" s="304">
        <f t="shared" si="70"/>
        <v>228053</v>
      </c>
      <c r="F59" s="306">
        <f t="shared" si="70"/>
        <v>171962</v>
      </c>
      <c r="G59" s="307">
        <f t="shared" si="70"/>
        <v>989734</v>
      </c>
      <c r="H59" s="308">
        <f t="shared" ref="H59:S59" si="71">H13+H28+H50+H56</f>
        <v>82</v>
      </c>
      <c r="I59" s="307">
        <f t="shared" si="71"/>
        <v>176</v>
      </c>
      <c r="J59" s="307">
        <f t="shared" si="71"/>
        <v>51</v>
      </c>
      <c r="K59" s="307">
        <f t="shared" si="71"/>
        <v>125</v>
      </c>
      <c r="L59" s="307">
        <f t="shared" si="71"/>
        <v>127</v>
      </c>
      <c r="M59" s="307">
        <f t="shared" si="71"/>
        <v>381</v>
      </c>
      <c r="N59" s="307">
        <f t="shared" si="71"/>
        <v>86</v>
      </c>
      <c r="O59" s="307">
        <f t="shared" si="71"/>
        <v>224</v>
      </c>
      <c r="P59" s="307">
        <f t="shared" si="71"/>
        <v>80</v>
      </c>
      <c r="Q59" s="307">
        <f t="shared" si="71"/>
        <v>91</v>
      </c>
      <c r="R59" s="307">
        <f t="shared" si="71"/>
        <v>426</v>
      </c>
      <c r="S59" s="307">
        <f t="shared" si="71"/>
        <v>1028</v>
      </c>
      <c r="T59" s="309">
        <f>R59*100/G59</f>
        <v>4.3041867814988671E-2</v>
      </c>
      <c r="U59" s="307">
        <f t="shared" ref="U59:AF59" si="72">U13+U28+U50+U56</f>
        <v>92</v>
      </c>
      <c r="V59" s="307">
        <f t="shared" si="72"/>
        <v>217</v>
      </c>
      <c r="W59" s="307">
        <f t="shared" si="72"/>
        <v>45</v>
      </c>
      <c r="X59" s="307">
        <f t="shared" si="72"/>
        <v>106</v>
      </c>
      <c r="Y59" s="307">
        <f t="shared" si="72"/>
        <v>160</v>
      </c>
      <c r="Z59" s="307">
        <f t="shared" si="72"/>
        <v>309</v>
      </c>
      <c r="AA59" s="307">
        <f t="shared" si="72"/>
        <v>94</v>
      </c>
      <c r="AB59" s="307">
        <f t="shared" si="72"/>
        <v>207</v>
      </c>
      <c r="AC59" s="307">
        <f t="shared" si="72"/>
        <v>71</v>
      </c>
      <c r="AD59" s="307">
        <f t="shared" si="72"/>
        <v>81</v>
      </c>
      <c r="AE59" s="307">
        <f t="shared" si="72"/>
        <v>462</v>
      </c>
      <c r="AF59" s="307">
        <f t="shared" si="72"/>
        <v>920</v>
      </c>
      <c r="AG59" s="309">
        <f>AE59*100/G59</f>
        <v>4.6679208757100396E-2</v>
      </c>
      <c r="AH59" s="307">
        <f t="shared" ref="AH59:AM59" si="73">AH13+AH28+AH50+AH56</f>
        <v>307</v>
      </c>
      <c r="AI59" s="307">
        <f t="shared" si="73"/>
        <v>38</v>
      </c>
      <c r="AJ59" s="307">
        <f t="shared" si="73"/>
        <v>170</v>
      </c>
      <c r="AK59" s="307">
        <f t="shared" si="73"/>
        <v>67</v>
      </c>
      <c r="AL59" s="307">
        <f t="shared" si="73"/>
        <v>23</v>
      </c>
      <c r="AM59" s="307">
        <f t="shared" si="73"/>
        <v>605</v>
      </c>
      <c r="AN59" s="309">
        <f>AM59*100/G59</f>
        <v>6.1127535277155275E-2</v>
      </c>
      <c r="AO59" s="307">
        <f t="shared" ref="AO59:AT59" si="74">AO13+AO28+AO50+AO56</f>
        <v>93</v>
      </c>
      <c r="AP59" s="307">
        <f t="shared" si="74"/>
        <v>60</v>
      </c>
      <c r="AQ59" s="307">
        <f t="shared" si="74"/>
        <v>44</v>
      </c>
      <c r="AR59" s="307">
        <f t="shared" si="74"/>
        <v>88</v>
      </c>
      <c r="AS59" s="307">
        <f t="shared" si="74"/>
        <v>37</v>
      </c>
      <c r="AT59" s="307">
        <f t="shared" si="74"/>
        <v>322</v>
      </c>
      <c r="AU59" s="307">
        <f t="shared" ref="AU59:BF59" si="75">AU13+AU28+AU50+AU56</f>
        <v>27</v>
      </c>
      <c r="AV59" s="307">
        <f t="shared" si="75"/>
        <v>25</v>
      </c>
      <c r="AW59" s="307">
        <f t="shared" si="75"/>
        <v>136</v>
      </c>
      <c r="AX59" s="307">
        <f t="shared" si="75"/>
        <v>51</v>
      </c>
      <c r="AY59" s="307">
        <f t="shared" si="75"/>
        <v>20</v>
      </c>
      <c r="AZ59" s="307">
        <f t="shared" si="75"/>
        <v>259</v>
      </c>
      <c r="BA59" s="307">
        <f t="shared" si="75"/>
        <v>983</v>
      </c>
      <c r="BB59" s="307">
        <f t="shared" si="75"/>
        <v>394</v>
      </c>
      <c r="BC59" s="307">
        <f t="shared" si="75"/>
        <v>1163</v>
      </c>
      <c r="BD59" s="307">
        <f t="shared" si="75"/>
        <v>561</v>
      </c>
      <c r="BE59" s="307">
        <f t="shared" si="75"/>
        <v>708</v>
      </c>
      <c r="BF59" s="307">
        <f t="shared" si="75"/>
        <v>3809</v>
      </c>
      <c r="BG59" s="310"/>
      <c r="BH59" s="265"/>
      <c r="BI59" s="266"/>
      <c r="BJ59" s="310"/>
      <c r="BK59" s="310"/>
    </row>
    <row r="60" spans="1:63" s="240" customFormat="1" ht="16.2" thickBot="1" x14ac:dyDescent="0.4">
      <c r="A60" s="282" t="s">
        <v>171</v>
      </c>
      <c r="B60" s="283"/>
      <c r="C60" s="283"/>
      <c r="D60" s="283"/>
      <c r="E60" s="283"/>
      <c r="F60" s="283"/>
      <c r="G60" s="283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78">
        <f>R59/$G$59*100</f>
        <v>4.3041867814988671E-2</v>
      </c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278">
        <f>AE59/$G$59*100</f>
        <v>4.6679208757100396E-2</v>
      </c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252"/>
      <c r="BH60" s="265"/>
      <c r="BI60" s="266"/>
      <c r="BJ60" s="252"/>
      <c r="BK60" s="252"/>
    </row>
    <row r="61" spans="1:63" x14ac:dyDescent="0.35">
      <c r="BG61" s="252"/>
      <c r="BH61" s="254"/>
      <c r="BI61" s="254"/>
      <c r="BJ61" s="254"/>
      <c r="BK61" s="254"/>
    </row>
    <row r="62" spans="1:63" x14ac:dyDescent="0.35">
      <c r="BG62" s="252"/>
      <c r="BH62" s="254"/>
      <c r="BI62" s="254"/>
      <c r="BJ62" s="254"/>
      <c r="BK62" s="254"/>
    </row>
  </sheetData>
  <mergeCells count="54">
    <mergeCell ref="A1:BF1"/>
    <mergeCell ref="B3:G3"/>
    <mergeCell ref="AH3:AM3"/>
    <mergeCell ref="AO3:AT3"/>
    <mergeCell ref="T3:T5"/>
    <mergeCell ref="AG3:AG5"/>
    <mergeCell ref="F4:F5"/>
    <mergeCell ref="AU3:AZ3"/>
    <mergeCell ref="BA3:BF3"/>
    <mergeCell ref="H4:I4"/>
    <mergeCell ref="J4:K4"/>
    <mergeCell ref="L4:M4"/>
    <mergeCell ref="N4:O4"/>
    <mergeCell ref="P4:Q4"/>
    <mergeCell ref="H3:S3"/>
    <mergeCell ref="R4:S4"/>
    <mergeCell ref="BF4:BF5"/>
    <mergeCell ref="A3:A5"/>
    <mergeCell ref="B4:B5"/>
    <mergeCell ref="C4:C5"/>
    <mergeCell ref="D4:D5"/>
    <mergeCell ref="E4:E5"/>
    <mergeCell ref="BE4:BE5"/>
    <mergeCell ref="AU4:AU5"/>
    <mergeCell ref="AV4:AV5"/>
    <mergeCell ref="AW4:AW5"/>
    <mergeCell ref="AX4:AX5"/>
    <mergeCell ref="G4:G5"/>
    <mergeCell ref="BA4:BA5"/>
    <mergeCell ref="BB4:BB5"/>
    <mergeCell ref="BC4:BC5"/>
    <mergeCell ref="BD4:BD5"/>
    <mergeCell ref="AY4:AY5"/>
    <mergeCell ref="AZ4:AZ5"/>
    <mergeCell ref="AO4:AO5"/>
    <mergeCell ref="AP4:AP5"/>
    <mergeCell ref="AQ4:AQ5"/>
    <mergeCell ref="AR4:AR5"/>
    <mergeCell ref="AS4:AS5"/>
    <mergeCell ref="AT4:AT5"/>
    <mergeCell ref="AN3:AN5"/>
    <mergeCell ref="U4:V4"/>
    <mergeCell ref="W4:X4"/>
    <mergeCell ref="Y4:Z4"/>
    <mergeCell ref="AA4:AB4"/>
    <mergeCell ref="AC4:AD4"/>
    <mergeCell ref="AE4:AF4"/>
    <mergeCell ref="U3:AF3"/>
    <mergeCell ref="AH4:AH5"/>
    <mergeCell ref="AI4:AI5"/>
    <mergeCell ref="AJ4:AJ5"/>
    <mergeCell ref="AK4:AK5"/>
    <mergeCell ref="AL4:AL5"/>
    <mergeCell ref="AM4:AM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727C-5BBD-4D5E-9A52-DFF02AC7A177}">
  <sheetPr>
    <pageSetUpPr fitToPage="1"/>
  </sheetPr>
  <dimension ref="A1:BK62"/>
  <sheetViews>
    <sheetView showGridLines="0" tabSelected="1" zoomScale="87" zoomScaleNormal="100" zoomScaleSheetLayoutView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26" sqref="AY26"/>
    </sheetView>
  </sheetViews>
  <sheetFormatPr baseColWidth="10" defaultColWidth="11.5546875" defaultRowHeight="15" outlineLevelCol="1" x14ac:dyDescent="0.35"/>
  <cols>
    <col min="1" max="1" width="27.77734375" style="169" customWidth="1"/>
    <col min="2" max="6" width="10.77734375" style="169" hidden="1" customWidth="1" outlineLevel="1"/>
    <col min="7" max="7" width="10.77734375" style="169" customWidth="1" collapsed="1"/>
    <col min="8" max="17" width="10.77734375" style="169" hidden="1" customWidth="1" outlineLevel="1"/>
    <col min="18" max="18" width="10.77734375" style="169" customWidth="1" collapsed="1"/>
    <col min="19" max="20" width="10.77734375" style="169" customWidth="1"/>
    <col min="21" max="30" width="10.77734375" style="169" hidden="1" customWidth="1" outlineLevel="1"/>
    <col min="31" max="31" width="10.77734375" style="169" customWidth="1" collapsed="1"/>
    <col min="32" max="33" width="10.77734375" style="169" customWidth="1"/>
    <col min="34" max="38" width="10.77734375" style="169" hidden="1" customWidth="1" outlineLevel="1"/>
    <col min="39" max="39" width="10.77734375" style="169" customWidth="1" collapsed="1"/>
    <col min="40" max="40" width="10.77734375" style="169" customWidth="1"/>
    <col min="41" max="45" width="10.77734375" style="169" hidden="1" customWidth="1" outlineLevel="1"/>
    <col min="46" max="46" width="10.77734375" style="169" customWidth="1" collapsed="1"/>
    <col min="47" max="49" width="10.77734375" style="169" hidden="1" customWidth="1" outlineLevel="1"/>
    <col min="50" max="50" width="10.5546875" style="169" hidden="1" customWidth="1" outlineLevel="1"/>
    <col min="51" max="51" width="10.77734375" style="169" hidden="1" customWidth="1" outlineLevel="1"/>
    <col min="52" max="52" width="10.77734375" style="169" customWidth="1" collapsed="1"/>
    <col min="53" max="53" width="10.77734375" style="169" hidden="1" customWidth="1" outlineLevel="1"/>
    <col min="54" max="57" width="10.88671875" style="169" hidden="1" customWidth="1" outlineLevel="1"/>
    <col min="58" max="58" width="11.5546875" style="169" collapsed="1"/>
    <col min="59" max="59" width="11.5546875" style="240"/>
    <col min="60" max="16384" width="11.5546875" style="169"/>
  </cols>
  <sheetData>
    <row r="1" spans="1:63" ht="28.8" x14ac:dyDescent="0.65">
      <c r="A1" s="518" t="s">
        <v>177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</row>
    <row r="2" spans="1:63" ht="21.6" thickBot="1" x14ac:dyDescent="0.55000000000000004">
      <c r="A2" s="241"/>
      <c r="B2" s="241"/>
      <c r="C2" s="241"/>
      <c r="D2" s="241"/>
      <c r="E2" s="241"/>
      <c r="F2" s="241"/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</row>
    <row r="3" spans="1:63" ht="66" customHeight="1" thickBot="1" x14ac:dyDescent="0.4">
      <c r="A3" s="541" t="s">
        <v>24</v>
      </c>
      <c r="B3" s="548" t="s">
        <v>132</v>
      </c>
      <c r="C3" s="549"/>
      <c r="D3" s="549"/>
      <c r="E3" s="549"/>
      <c r="F3" s="549"/>
      <c r="G3" s="550"/>
      <c r="H3" s="531" t="s">
        <v>128</v>
      </c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3"/>
      <c r="T3" s="524" t="s">
        <v>39</v>
      </c>
      <c r="U3" s="531" t="s">
        <v>127</v>
      </c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3"/>
      <c r="AG3" s="524" t="s">
        <v>42</v>
      </c>
      <c r="AH3" s="527" t="s">
        <v>43</v>
      </c>
      <c r="AI3" s="551"/>
      <c r="AJ3" s="551"/>
      <c r="AK3" s="551"/>
      <c r="AL3" s="551"/>
      <c r="AM3" s="528"/>
      <c r="AN3" s="524" t="s">
        <v>42</v>
      </c>
      <c r="AO3" s="529" t="s">
        <v>131</v>
      </c>
      <c r="AP3" s="552"/>
      <c r="AQ3" s="552"/>
      <c r="AR3" s="552"/>
      <c r="AS3" s="552"/>
      <c r="AT3" s="530"/>
      <c r="AU3" s="529" t="s">
        <v>129</v>
      </c>
      <c r="AV3" s="552"/>
      <c r="AW3" s="552"/>
      <c r="AX3" s="552"/>
      <c r="AY3" s="552"/>
      <c r="AZ3" s="530"/>
      <c r="BA3" s="529" t="s">
        <v>130</v>
      </c>
      <c r="BB3" s="552"/>
      <c r="BC3" s="552"/>
      <c r="BD3" s="552"/>
      <c r="BE3" s="552"/>
      <c r="BF3" s="530"/>
    </row>
    <row r="4" spans="1:63" ht="13.05" customHeight="1" thickBot="1" x14ac:dyDescent="0.4">
      <c r="A4" s="542"/>
      <c r="B4" s="544" t="s">
        <v>29</v>
      </c>
      <c r="C4" s="544" t="s">
        <v>30</v>
      </c>
      <c r="D4" s="544" t="s">
        <v>35</v>
      </c>
      <c r="E4" s="544" t="s">
        <v>31</v>
      </c>
      <c r="F4" s="544" t="s">
        <v>32</v>
      </c>
      <c r="G4" s="546" t="s">
        <v>21</v>
      </c>
      <c r="H4" s="527" t="s">
        <v>29</v>
      </c>
      <c r="I4" s="528"/>
      <c r="J4" s="527" t="s">
        <v>30</v>
      </c>
      <c r="K4" s="528"/>
      <c r="L4" s="527" t="s">
        <v>36</v>
      </c>
      <c r="M4" s="528"/>
      <c r="N4" s="527" t="s">
        <v>33</v>
      </c>
      <c r="O4" s="528"/>
      <c r="P4" s="527" t="s">
        <v>32</v>
      </c>
      <c r="Q4" s="528"/>
      <c r="R4" s="529" t="s">
        <v>21</v>
      </c>
      <c r="S4" s="530"/>
      <c r="T4" s="525"/>
      <c r="U4" s="527" t="s">
        <v>29</v>
      </c>
      <c r="V4" s="528"/>
      <c r="W4" s="527" t="s">
        <v>30</v>
      </c>
      <c r="X4" s="528"/>
      <c r="Y4" s="527" t="s">
        <v>36</v>
      </c>
      <c r="Z4" s="528"/>
      <c r="AA4" s="527" t="s">
        <v>33</v>
      </c>
      <c r="AB4" s="528"/>
      <c r="AC4" s="527" t="s">
        <v>32</v>
      </c>
      <c r="AD4" s="528"/>
      <c r="AE4" s="529" t="s">
        <v>21</v>
      </c>
      <c r="AF4" s="530"/>
      <c r="AG4" s="525"/>
      <c r="AH4" s="533" t="s">
        <v>29</v>
      </c>
      <c r="AI4" s="535" t="s">
        <v>30</v>
      </c>
      <c r="AJ4" s="535" t="s">
        <v>36</v>
      </c>
      <c r="AK4" s="535" t="s">
        <v>33</v>
      </c>
      <c r="AL4" s="535" t="s">
        <v>32</v>
      </c>
      <c r="AM4" s="537" t="s">
        <v>21</v>
      </c>
      <c r="AN4" s="525"/>
      <c r="AO4" s="533" t="s">
        <v>29</v>
      </c>
      <c r="AP4" s="535" t="s">
        <v>30</v>
      </c>
      <c r="AQ4" s="535" t="s">
        <v>36</v>
      </c>
      <c r="AR4" s="535" t="s">
        <v>33</v>
      </c>
      <c r="AS4" s="535" t="s">
        <v>32</v>
      </c>
      <c r="AT4" s="539" t="s">
        <v>21</v>
      </c>
      <c r="AU4" s="533" t="s">
        <v>29</v>
      </c>
      <c r="AV4" s="535" t="s">
        <v>30</v>
      </c>
      <c r="AW4" s="535" t="s">
        <v>36</v>
      </c>
      <c r="AX4" s="535" t="s">
        <v>33</v>
      </c>
      <c r="AY4" s="535" t="s">
        <v>32</v>
      </c>
      <c r="AZ4" s="539" t="s">
        <v>21</v>
      </c>
      <c r="BA4" s="533" t="s">
        <v>29</v>
      </c>
      <c r="BB4" s="535" t="s">
        <v>30</v>
      </c>
      <c r="BC4" s="535" t="s">
        <v>36</v>
      </c>
      <c r="BD4" s="535" t="s">
        <v>33</v>
      </c>
      <c r="BE4" s="535" t="s">
        <v>32</v>
      </c>
      <c r="BF4" s="539" t="s">
        <v>21</v>
      </c>
    </row>
    <row r="5" spans="1:63" ht="24.6" thickBot="1" x14ac:dyDescent="0.4">
      <c r="A5" s="543"/>
      <c r="B5" s="545"/>
      <c r="C5" s="545"/>
      <c r="D5" s="545"/>
      <c r="E5" s="545"/>
      <c r="F5" s="545"/>
      <c r="G5" s="547"/>
      <c r="H5" s="243" t="s">
        <v>147</v>
      </c>
      <c r="I5" s="244" t="s">
        <v>148</v>
      </c>
      <c r="J5" s="243" t="s">
        <v>147</v>
      </c>
      <c r="K5" s="244" t="s">
        <v>148</v>
      </c>
      <c r="L5" s="243" t="s">
        <v>147</v>
      </c>
      <c r="M5" s="244" t="s">
        <v>148</v>
      </c>
      <c r="N5" s="243" t="s">
        <v>147</v>
      </c>
      <c r="O5" s="244" t="s">
        <v>148</v>
      </c>
      <c r="P5" s="243" t="s">
        <v>147</v>
      </c>
      <c r="Q5" s="244" t="s">
        <v>148</v>
      </c>
      <c r="R5" s="245" t="s">
        <v>147</v>
      </c>
      <c r="S5" s="246" t="s">
        <v>148</v>
      </c>
      <c r="T5" s="526"/>
      <c r="U5" s="243" t="s">
        <v>147</v>
      </c>
      <c r="V5" s="244" t="s">
        <v>148</v>
      </c>
      <c r="W5" s="243" t="s">
        <v>147</v>
      </c>
      <c r="X5" s="244" t="s">
        <v>148</v>
      </c>
      <c r="Y5" s="243" t="s">
        <v>147</v>
      </c>
      <c r="Z5" s="244" t="s">
        <v>148</v>
      </c>
      <c r="AA5" s="243" t="s">
        <v>147</v>
      </c>
      <c r="AB5" s="244" t="s">
        <v>148</v>
      </c>
      <c r="AC5" s="243" t="s">
        <v>147</v>
      </c>
      <c r="AD5" s="244" t="s">
        <v>148</v>
      </c>
      <c r="AE5" s="245" t="s">
        <v>147</v>
      </c>
      <c r="AF5" s="246" t="s">
        <v>148</v>
      </c>
      <c r="AG5" s="526"/>
      <c r="AH5" s="534"/>
      <c r="AI5" s="536"/>
      <c r="AJ5" s="536"/>
      <c r="AK5" s="536"/>
      <c r="AL5" s="536"/>
      <c r="AM5" s="538"/>
      <c r="AN5" s="526"/>
      <c r="AO5" s="534"/>
      <c r="AP5" s="536"/>
      <c r="AQ5" s="536"/>
      <c r="AR5" s="536"/>
      <c r="AS5" s="536"/>
      <c r="AT5" s="540"/>
      <c r="AU5" s="534"/>
      <c r="AV5" s="536"/>
      <c r="AW5" s="536"/>
      <c r="AX5" s="536"/>
      <c r="AY5" s="536"/>
      <c r="AZ5" s="540"/>
      <c r="BA5" s="534"/>
      <c r="BB5" s="536"/>
      <c r="BC5" s="536"/>
      <c r="BD5" s="536"/>
      <c r="BE5" s="536"/>
      <c r="BF5" s="540"/>
    </row>
    <row r="6" spans="1:63" ht="15.6" x14ac:dyDescent="0.35">
      <c r="A6" s="247"/>
      <c r="B6" s="247"/>
      <c r="C6" s="247"/>
      <c r="D6" s="247"/>
      <c r="E6" s="247"/>
      <c r="F6" s="247"/>
      <c r="G6" s="248"/>
      <c r="H6" s="249"/>
      <c r="I6" s="249"/>
      <c r="J6" s="249"/>
      <c r="K6" s="249"/>
      <c r="L6" s="249"/>
      <c r="M6" s="249"/>
      <c r="N6" s="249"/>
      <c r="O6" s="249"/>
      <c r="P6" s="239"/>
      <c r="Q6" s="239"/>
      <c r="R6" s="239"/>
      <c r="S6" s="239"/>
      <c r="T6" s="23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</row>
    <row r="7" spans="1:63" ht="16.2" thickBot="1" x14ac:dyDescent="0.4">
      <c r="A7" s="250" t="s">
        <v>49</v>
      </c>
      <c r="B7" s="247"/>
      <c r="C7" s="247"/>
      <c r="D7" s="247"/>
      <c r="E7" s="247"/>
      <c r="F7" s="247"/>
      <c r="G7" s="248"/>
      <c r="H7" s="250"/>
      <c r="I7" s="250"/>
      <c r="J7" s="250"/>
      <c r="K7" s="250"/>
      <c r="L7" s="250"/>
      <c r="M7" s="250"/>
      <c r="N7" s="250"/>
      <c r="O7" s="250"/>
      <c r="P7" s="251"/>
      <c r="Q7" s="251"/>
      <c r="R7" s="251"/>
      <c r="S7" s="251"/>
      <c r="T7" s="251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  <c r="BF7" s="251"/>
      <c r="BG7" s="252"/>
      <c r="BH7" s="253"/>
      <c r="BI7" s="254"/>
      <c r="BJ7" s="254"/>
      <c r="BK7" s="254"/>
    </row>
    <row r="8" spans="1:63" ht="15" customHeight="1" thickBot="1" x14ac:dyDescent="0.4">
      <c r="A8" s="255" t="s">
        <v>1</v>
      </c>
      <c r="B8" s="256">
        <v>70</v>
      </c>
      <c r="C8" s="256">
        <v>50</v>
      </c>
      <c r="D8" s="256">
        <v>102</v>
      </c>
      <c r="E8" s="257">
        <v>100</v>
      </c>
      <c r="F8" s="258">
        <v>35</v>
      </c>
      <c r="G8" s="259">
        <f>SUM(B8:F8)</f>
        <v>357</v>
      </c>
      <c r="H8" s="260">
        <v>0</v>
      </c>
      <c r="I8" s="256">
        <v>0</v>
      </c>
      <c r="J8" s="256">
        <v>0</v>
      </c>
      <c r="K8" s="256">
        <v>1</v>
      </c>
      <c r="L8" s="256">
        <v>3</v>
      </c>
      <c r="M8" s="256">
        <v>2</v>
      </c>
      <c r="N8" s="256">
        <v>1</v>
      </c>
      <c r="O8" s="256">
        <v>0</v>
      </c>
      <c r="P8" s="256">
        <v>0</v>
      </c>
      <c r="Q8" s="258">
        <v>0</v>
      </c>
      <c r="R8" s="256">
        <f>H8+J8+L8+N8+P8</f>
        <v>4</v>
      </c>
      <c r="S8" s="258">
        <f>I8+K8+M8+O8+Q8</f>
        <v>3</v>
      </c>
      <c r="T8" s="261">
        <f t="shared" ref="T8:T13" si="0">(R8+S8)*100/G8</f>
        <v>1.9607843137254901</v>
      </c>
      <c r="U8" s="260">
        <v>0</v>
      </c>
      <c r="V8" s="256">
        <v>0</v>
      </c>
      <c r="W8" s="256">
        <v>0</v>
      </c>
      <c r="X8" s="256">
        <v>2</v>
      </c>
      <c r="Y8" s="256">
        <v>0</v>
      </c>
      <c r="Z8" s="256">
        <v>0</v>
      </c>
      <c r="AA8" s="256">
        <v>0</v>
      </c>
      <c r="AB8" s="256">
        <v>0</v>
      </c>
      <c r="AC8" s="256">
        <v>0</v>
      </c>
      <c r="AD8" s="258">
        <v>0</v>
      </c>
      <c r="AE8" s="256">
        <f>U8+W8+Y8+AA8+AC8</f>
        <v>0</v>
      </c>
      <c r="AF8" s="258">
        <f>V8+X8+Z8+AB8+AD8</f>
        <v>2</v>
      </c>
      <c r="AG8" s="261">
        <f t="shared" ref="AG8:AG13" si="1">(AE8+AF8)*100/G8</f>
        <v>0.56022408963585435</v>
      </c>
      <c r="AH8" s="260">
        <v>1</v>
      </c>
      <c r="AI8" s="256">
        <v>0</v>
      </c>
      <c r="AJ8" s="256">
        <v>0</v>
      </c>
      <c r="AK8" s="256">
        <v>0</v>
      </c>
      <c r="AL8" s="258">
        <v>0</v>
      </c>
      <c r="AM8" s="256">
        <f>SUM(AH8:AL8)</f>
        <v>1</v>
      </c>
      <c r="AN8" s="261">
        <f t="shared" ref="AN8:AN13" si="2">AM8*100/G8</f>
        <v>0.28011204481792717</v>
      </c>
      <c r="AO8" s="260">
        <v>0</v>
      </c>
      <c r="AP8" s="256">
        <v>0</v>
      </c>
      <c r="AQ8" s="256">
        <v>2</v>
      </c>
      <c r="AR8" s="256">
        <v>0</v>
      </c>
      <c r="AS8" s="258">
        <v>0</v>
      </c>
      <c r="AT8" s="256">
        <f>SUM(AO8:AS8)</f>
        <v>2</v>
      </c>
      <c r="AU8" s="262">
        <v>0</v>
      </c>
      <c r="AV8" s="263">
        <v>0</v>
      </c>
      <c r="AW8" s="263">
        <v>2</v>
      </c>
      <c r="AX8" s="263">
        <v>1</v>
      </c>
      <c r="AY8" s="264">
        <v>0</v>
      </c>
      <c r="AZ8" s="256">
        <f>SUM(AU8:AY8)</f>
        <v>3</v>
      </c>
      <c r="BA8" s="262">
        <v>2</v>
      </c>
      <c r="BB8" s="263">
        <v>2</v>
      </c>
      <c r="BC8" s="263">
        <v>2</v>
      </c>
      <c r="BD8" s="263">
        <v>2</v>
      </c>
      <c r="BE8" s="264">
        <v>0</v>
      </c>
      <c r="BF8" s="256">
        <f>SUM(BA8:BE8)</f>
        <v>8</v>
      </c>
      <c r="BG8" s="252"/>
      <c r="BH8" s="265"/>
      <c r="BI8" s="266"/>
      <c r="BJ8" s="254"/>
      <c r="BK8" s="254"/>
    </row>
    <row r="9" spans="1:63" ht="16.2" thickBot="1" x14ac:dyDescent="0.4">
      <c r="A9" s="267" t="s">
        <v>2</v>
      </c>
      <c r="B9" s="256">
        <v>447</v>
      </c>
      <c r="C9" s="256">
        <v>246</v>
      </c>
      <c r="D9" s="256">
        <v>656</v>
      </c>
      <c r="E9" s="257">
        <v>594</v>
      </c>
      <c r="F9" s="258">
        <v>272</v>
      </c>
      <c r="G9" s="259">
        <f>SUM(B9:F9)</f>
        <v>2215</v>
      </c>
      <c r="H9" s="260">
        <v>0</v>
      </c>
      <c r="I9" s="256">
        <v>0</v>
      </c>
      <c r="J9" s="256">
        <v>0</v>
      </c>
      <c r="K9" s="256">
        <v>0</v>
      </c>
      <c r="L9" s="256">
        <v>3</v>
      </c>
      <c r="M9" s="256">
        <v>2</v>
      </c>
      <c r="N9" s="256">
        <v>2</v>
      </c>
      <c r="O9" s="256">
        <v>0</v>
      </c>
      <c r="P9" s="256">
        <v>0</v>
      </c>
      <c r="Q9" s="258">
        <v>0</v>
      </c>
      <c r="R9" s="256">
        <f t="shared" ref="R9:S12" si="3">H9+J9+L9+N9+P9</f>
        <v>5</v>
      </c>
      <c r="S9" s="258">
        <f t="shared" si="3"/>
        <v>2</v>
      </c>
      <c r="T9" s="261">
        <f t="shared" si="0"/>
        <v>0.3160270880361174</v>
      </c>
      <c r="U9" s="260">
        <v>0</v>
      </c>
      <c r="V9" s="256">
        <v>0</v>
      </c>
      <c r="W9" s="256">
        <v>3</v>
      </c>
      <c r="X9" s="256">
        <v>2</v>
      </c>
      <c r="Y9" s="256">
        <v>4</v>
      </c>
      <c r="Z9" s="256">
        <v>2</v>
      </c>
      <c r="AA9" s="256">
        <v>1</v>
      </c>
      <c r="AB9" s="256">
        <v>3</v>
      </c>
      <c r="AC9" s="256">
        <v>0</v>
      </c>
      <c r="AD9" s="258">
        <v>0</v>
      </c>
      <c r="AE9" s="256">
        <f t="shared" ref="AE9:AF12" si="4">U9+W9+Y9+AA9+AC9</f>
        <v>8</v>
      </c>
      <c r="AF9" s="258">
        <f t="shared" si="4"/>
        <v>7</v>
      </c>
      <c r="AG9" s="261">
        <f t="shared" si="1"/>
        <v>0.67720090293453727</v>
      </c>
      <c r="AH9" s="260">
        <v>2</v>
      </c>
      <c r="AI9" s="256">
        <v>1</v>
      </c>
      <c r="AJ9" s="256">
        <v>0</v>
      </c>
      <c r="AK9" s="256">
        <v>2</v>
      </c>
      <c r="AL9" s="258">
        <v>0</v>
      </c>
      <c r="AM9" s="256">
        <f>SUM(AH9:AL9)</f>
        <v>5</v>
      </c>
      <c r="AN9" s="261">
        <f t="shared" si="2"/>
        <v>0.22573363431151242</v>
      </c>
      <c r="AO9" s="260">
        <v>1</v>
      </c>
      <c r="AP9" s="256">
        <v>1</v>
      </c>
      <c r="AQ9" s="256">
        <v>0</v>
      </c>
      <c r="AR9" s="256">
        <v>0</v>
      </c>
      <c r="AS9" s="258">
        <v>0</v>
      </c>
      <c r="AT9" s="256">
        <f t="shared" ref="AT9:AT12" si="5">SUM(AO9:AS9)</f>
        <v>2</v>
      </c>
      <c r="AU9" s="262">
        <v>0</v>
      </c>
      <c r="AV9" s="263">
        <v>0</v>
      </c>
      <c r="AW9" s="263">
        <v>2</v>
      </c>
      <c r="AX9" s="263">
        <v>2</v>
      </c>
      <c r="AY9" s="264">
        <v>0</v>
      </c>
      <c r="AZ9" s="256">
        <f t="shared" ref="AZ9:AZ12" si="6">SUM(AU9:AY9)</f>
        <v>4</v>
      </c>
      <c r="BA9" s="262">
        <v>8</v>
      </c>
      <c r="BB9" s="263">
        <v>12</v>
      </c>
      <c r="BC9" s="263">
        <v>3</v>
      </c>
      <c r="BD9" s="263">
        <v>7</v>
      </c>
      <c r="BE9" s="264">
        <v>4</v>
      </c>
      <c r="BF9" s="256">
        <f t="shared" ref="BF9:BF12" si="7">SUM(BA9:BE9)</f>
        <v>34</v>
      </c>
      <c r="BG9" s="252"/>
      <c r="BH9" s="265"/>
      <c r="BI9" s="266"/>
      <c r="BJ9" s="254"/>
      <c r="BK9" s="254"/>
    </row>
    <row r="10" spans="1:63" ht="16.2" thickBot="1" x14ac:dyDescent="0.4">
      <c r="A10" s="267" t="s">
        <v>14</v>
      </c>
      <c r="B10" s="256">
        <v>52</v>
      </c>
      <c r="C10" s="256">
        <v>42</v>
      </c>
      <c r="D10" s="256">
        <v>85</v>
      </c>
      <c r="E10" s="257">
        <v>91</v>
      </c>
      <c r="F10" s="258">
        <v>34</v>
      </c>
      <c r="G10" s="259">
        <f>SUM(B10:F10)</f>
        <v>304</v>
      </c>
      <c r="H10" s="260">
        <v>0</v>
      </c>
      <c r="I10" s="256">
        <v>0</v>
      </c>
      <c r="J10" s="256">
        <v>0</v>
      </c>
      <c r="K10" s="256">
        <v>0</v>
      </c>
      <c r="L10" s="256">
        <v>0</v>
      </c>
      <c r="M10" s="256">
        <v>0</v>
      </c>
      <c r="N10" s="256">
        <v>0</v>
      </c>
      <c r="O10" s="256">
        <v>0</v>
      </c>
      <c r="P10" s="256">
        <v>0</v>
      </c>
      <c r="Q10" s="258">
        <v>0</v>
      </c>
      <c r="R10" s="256">
        <f t="shared" si="3"/>
        <v>0</v>
      </c>
      <c r="S10" s="258">
        <f t="shared" si="3"/>
        <v>0</v>
      </c>
      <c r="T10" s="261">
        <f t="shared" si="0"/>
        <v>0</v>
      </c>
      <c r="U10" s="260">
        <v>0</v>
      </c>
      <c r="V10" s="256">
        <v>1</v>
      </c>
      <c r="W10" s="256">
        <v>0</v>
      </c>
      <c r="X10" s="256">
        <v>0</v>
      </c>
      <c r="Y10" s="256">
        <v>0</v>
      </c>
      <c r="Z10" s="256">
        <v>0</v>
      </c>
      <c r="AA10" s="256">
        <v>0</v>
      </c>
      <c r="AB10" s="256">
        <v>0</v>
      </c>
      <c r="AC10" s="256">
        <v>0</v>
      </c>
      <c r="AD10" s="258">
        <v>0</v>
      </c>
      <c r="AE10" s="256">
        <f t="shared" si="4"/>
        <v>0</v>
      </c>
      <c r="AF10" s="258">
        <f t="shared" si="4"/>
        <v>1</v>
      </c>
      <c r="AG10" s="261">
        <f t="shared" si="1"/>
        <v>0.32894736842105265</v>
      </c>
      <c r="AH10" s="260">
        <v>0</v>
      </c>
      <c r="AI10" s="256">
        <v>0</v>
      </c>
      <c r="AJ10" s="256">
        <v>0</v>
      </c>
      <c r="AK10" s="256">
        <v>0</v>
      </c>
      <c r="AL10" s="258">
        <v>0</v>
      </c>
      <c r="AM10" s="256">
        <f>SUM(AH10:AL10)</f>
        <v>0</v>
      </c>
      <c r="AN10" s="261">
        <f t="shared" si="2"/>
        <v>0</v>
      </c>
      <c r="AO10" s="260">
        <v>0</v>
      </c>
      <c r="AP10" s="256">
        <v>0</v>
      </c>
      <c r="AQ10" s="256">
        <v>0</v>
      </c>
      <c r="AR10" s="256">
        <v>0</v>
      </c>
      <c r="AS10" s="258">
        <v>0</v>
      </c>
      <c r="AT10" s="256">
        <f t="shared" si="5"/>
        <v>0</v>
      </c>
      <c r="AU10" s="262">
        <v>0</v>
      </c>
      <c r="AV10" s="263">
        <v>0</v>
      </c>
      <c r="AW10" s="263">
        <v>0</v>
      </c>
      <c r="AX10" s="263">
        <v>0</v>
      </c>
      <c r="AY10" s="264">
        <v>0</v>
      </c>
      <c r="AZ10" s="256">
        <f t="shared" si="6"/>
        <v>0</v>
      </c>
      <c r="BA10" s="262">
        <v>2</v>
      </c>
      <c r="BB10" s="263">
        <v>0</v>
      </c>
      <c r="BC10" s="263">
        <v>0</v>
      </c>
      <c r="BD10" s="263">
        <v>0</v>
      </c>
      <c r="BE10" s="264">
        <v>0</v>
      </c>
      <c r="BF10" s="256">
        <f t="shared" si="7"/>
        <v>2</v>
      </c>
      <c r="BG10" s="252"/>
      <c r="BH10" s="265"/>
      <c r="BI10" s="266"/>
      <c r="BJ10" s="254"/>
      <c r="BK10" s="254"/>
    </row>
    <row r="11" spans="1:63" ht="16.2" thickBot="1" x14ac:dyDescent="0.4">
      <c r="A11" s="267" t="s">
        <v>3</v>
      </c>
      <c r="B11" s="256">
        <v>66</v>
      </c>
      <c r="C11" s="256">
        <v>78</v>
      </c>
      <c r="D11" s="256">
        <v>127</v>
      </c>
      <c r="E11" s="257">
        <v>110</v>
      </c>
      <c r="F11" s="258">
        <v>52</v>
      </c>
      <c r="G11" s="259">
        <f>SUM(B11:F11)</f>
        <v>433</v>
      </c>
      <c r="H11" s="260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8">
        <v>0</v>
      </c>
      <c r="R11" s="256">
        <f t="shared" si="3"/>
        <v>0</v>
      </c>
      <c r="S11" s="258">
        <f t="shared" si="3"/>
        <v>0</v>
      </c>
      <c r="T11" s="261">
        <f t="shared" si="0"/>
        <v>0</v>
      </c>
      <c r="U11" s="260">
        <v>0</v>
      </c>
      <c r="V11" s="256">
        <v>0</v>
      </c>
      <c r="W11" s="256">
        <v>0</v>
      </c>
      <c r="X11" s="256">
        <v>0</v>
      </c>
      <c r="Y11" s="256">
        <v>0</v>
      </c>
      <c r="Z11" s="256">
        <v>1</v>
      </c>
      <c r="AA11" s="256">
        <v>0</v>
      </c>
      <c r="AB11" s="256">
        <v>0</v>
      </c>
      <c r="AC11" s="256">
        <v>0</v>
      </c>
      <c r="AD11" s="258">
        <v>0</v>
      </c>
      <c r="AE11" s="256">
        <f t="shared" si="4"/>
        <v>0</v>
      </c>
      <c r="AF11" s="258">
        <f t="shared" si="4"/>
        <v>1</v>
      </c>
      <c r="AG11" s="261">
        <f t="shared" si="1"/>
        <v>0.23094688221709006</v>
      </c>
      <c r="AH11" s="260">
        <v>0</v>
      </c>
      <c r="AI11" s="256">
        <v>0</v>
      </c>
      <c r="AJ11" s="256">
        <v>0</v>
      </c>
      <c r="AK11" s="256">
        <v>0</v>
      </c>
      <c r="AL11" s="258">
        <v>0</v>
      </c>
      <c r="AM11" s="256">
        <f>SUM(AH11:AL11)</f>
        <v>0</v>
      </c>
      <c r="AN11" s="261">
        <f t="shared" si="2"/>
        <v>0</v>
      </c>
      <c r="AO11" s="260">
        <v>1</v>
      </c>
      <c r="AP11" s="256">
        <v>0</v>
      </c>
      <c r="AQ11" s="256">
        <v>0</v>
      </c>
      <c r="AR11" s="256">
        <v>0</v>
      </c>
      <c r="AS11" s="258">
        <v>0</v>
      </c>
      <c r="AT11" s="256">
        <f t="shared" si="5"/>
        <v>1</v>
      </c>
      <c r="AU11" s="262">
        <v>0</v>
      </c>
      <c r="AV11" s="263">
        <v>0</v>
      </c>
      <c r="AW11" s="263">
        <v>0</v>
      </c>
      <c r="AX11" s="263">
        <v>0</v>
      </c>
      <c r="AY11" s="264">
        <v>0</v>
      </c>
      <c r="AZ11" s="256">
        <f t="shared" si="6"/>
        <v>0</v>
      </c>
      <c r="BA11" s="262">
        <v>0</v>
      </c>
      <c r="BB11" s="263">
        <v>1</v>
      </c>
      <c r="BC11" s="263">
        <v>3</v>
      </c>
      <c r="BD11" s="263">
        <v>0</v>
      </c>
      <c r="BE11" s="264">
        <v>0</v>
      </c>
      <c r="BF11" s="256">
        <f t="shared" si="7"/>
        <v>4</v>
      </c>
      <c r="BG11" s="252"/>
      <c r="BH11" s="265"/>
      <c r="BI11" s="266"/>
      <c r="BJ11" s="254"/>
      <c r="BK11" s="254"/>
    </row>
    <row r="12" spans="1:63" ht="27" thickBot="1" x14ac:dyDescent="0.4">
      <c r="A12" s="268" t="s">
        <v>23</v>
      </c>
      <c r="B12" s="256">
        <v>593</v>
      </c>
      <c r="C12" s="256">
        <v>244</v>
      </c>
      <c r="D12" s="256">
        <v>779</v>
      </c>
      <c r="E12" s="257">
        <v>738</v>
      </c>
      <c r="F12" s="258">
        <v>230</v>
      </c>
      <c r="G12" s="259">
        <f>SUM(B12:F12)</f>
        <v>2584</v>
      </c>
      <c r="H12" s="260">
        <v>0</v>
      </c>
      <c r="I12" s="256">
        <v>1</v>
      </c>
      <c r="J12" s="256">
        <v>0</v>
      </c>
      <c r="K12" s="256">
        <v>0</v>
      </c>
      <c r="L12" s="256">
        <v>0</v>
      </c>
      <c r="M12" s="256">
        <v>5</v>
      </c>
      <c r="N12" s="256">
        <v>0</v>
      </c>
      <c r="O12" s="256">
        <v>1</v>
      </c>
      <c r="P12" s="256">
        <v>1</v>
      </c>
      <c r="Q12" s="258">
        <v>0</v>
      </c>
      <c r="R12" s="256">
        <f t="shared" si="3"/>
        <v>1</v>
      </c>
      <c r="S12" s="258">
        <f t="shared" si="3"/>
        <v>7</v>
      </c>
      <c r="T12" s="261">
        <f t="shared" si="0"/>
        <v>0.30959752321981426</v>
      </c>
      <c r="U12" s="260">
        <v>1</v>
      </c>
      <c r="V12" s="256">
        <v>0</v>
      </c>
      <c r="W12" s="256">
        <v>0</v>
      </c>
      <c r="X12" s="256">
        <v>1</v>
      </c>
      <c r="Y12" s="256">
        <v>0</v>
      </c>
      <c r="Z12" s="256">
        <v>3</v>
      </c>
      <c r="AA12" s="256">
        <v>0</v>
      </c>
      <c r="AB12" s="256">
        <v>2</v>
      </c>
      <c r="AC12" s="256">
        <v>0</v>
      </c>
      <c r="AD12" s="258">
        <v>0</v>
      </c>
      <c r="AE12" s="256">
        <f t="shared" si="4"/>
        <v>1</v>
      </c>
      <c r="AF12" s="258">
        <f t="shared" si="4"/>
        <v>6</v>
      </c>
      <c r="AG12" s="261">
        <f t="shared" si="1"/>
        <v>0.27089783281733748</v>
      </c>
      <c r="AH12" s="260">
        <v>1</v>
      </c>
      <c r="AI12" s="256">
        <v>0</v>
      </c>
      <c r="AJ12" s="256">
        <v>0</v>
      </c>
      <c r="AK12" s="256">
        <v>0</v>
      </c>
      <c r="AL12" s="258">
        <v>0</v>
      </c>
      <c r="AM12" s="256">
        <f>SUM(AH12:AL12)</f>
        <v>1</v>
      </c>
      <c r="AN12" s="261">
        <f t="shared" si="2"/>
        <v>3.8699690402476783E-2</v>
      </c>
      <c r="AO12" s="260">
        <v>3</v>
      </c>
      <c r="AP12" s="256">
        <v>1</v>
      </c>
      <c r="AQ12" s="256">
        <v>0</v>
      </c>
      <c r="AR12" s="256">
        <v>1</v>
      </c>
      <c r="AS12" s="258">
        <v>0</v>
      </c>
      <c r="AT12" s="256">
        <f t="shared" si="5"/>
        <v>5</v>
      </c>
      <c r="AU12" s="262">
        <v>0</v>
      </c>
      <c r="AV12" s="263">
        <v>0</v>
      </c>
      <c r="AW12" s="263">
        <v>0</v>
      </c>
      <c r="AX12" s="263">
        <v>0</v>
      </c>
      <c r="AY12" s="264">
        <v>0</v>
      </c>
      <c r="AZ12" s="256">
        <f t="shared" si="6"/>
        <v>0</v>
      </c>
      <c r="BA12" s="262">
        <v>15</v>
      </c>
      <c r="BB12" s="263">
        <v>11</v>
      </c>
      <c r="BC12" s="263">
        <v>6</v>
      </c>
      <c r="BD12" s="263">
        <v>0</v>
      </c>
      <c r="BE12" s="264">
        <v>2</v>
      </c>
      <c r="BF12" s="256">
        <f t="shared" si="7"/>
        <v>34</v>
      </c>
      <c r="BG12" s="252"/>
      <c r="BH12" s="265"/>
      <c r="BI12" s="266"/>
      <c r="BJ12" s="254"/>
      <c r="BK12" s="254"/>
    </row>
    <row r="13" spans="1:63" s="240" customFormat="1" ht="16.2" thickBot="1" x14ac:dyDescent="0.4">
      <c r="A13" s="269" t="s">
        <v>21</v>
      </c>
      <c r="B13" s="270">
        <f t="shared" ref="B13:S13" si="8">SUM(B8:B12)</f>
        <v>1228</v>
      </c>
      <c r="C13" s="270">
        <f t="shared" si="8"/>
        <v>660</v>
      </c>
      <c r="D13" s="270">
        <f t="shared" si="8"/>
        <v>1749</v>
      </c>
      <c r="E13" s="270">
        <f t="shared" si="8"/>
        <v>1633</v>
      </c>
      <c r="F13" s="271">
        <f t="shared" si="8"/>
        <v>623</v>
      </c>
      <c r="G13" s="272">
        <f>SUM(G8:G12)</f>
        <v>5893</v>
      </c>
      <c r="H13" s="273">
        <f t="shared" si="8"/>
        <v>0</v>
      </c>
      <c r="I13" s="274">
        <f t="shared" si="8"/>
        <v>1</v>
      </c>
      <c r="J13" s="274">
        <f t="shared" si="8"/>
        <v>0</v>
      </c>
      <c r="K13" s="274">
        <f t="shared" si="8"/>
        <v>1</v>
      </c>
      <c r="L13" s="274">
        <f t="shared" si="8"/>
        <v>6</v>
      </c>
      <c r="M13" s="274">
        <f t="shared" si="8"/>
        <v>9</v>
      </c>
      <c r="N13" s="274">
        <f t="shared" si="8"/>
        <v>3</v>
      </c>
      <c r="O13" s="274">
        <f t="shared" si="8"/>
        <v>1</v>
      </c>
      <c r="P13" s="274">
        <f t="shared" si="8"/>
        <v>1</v>
      </c>
      <c r="Q13" s="275">
        <f t="shared" si="8"/>
        <v>0</v>
      </c>
      <c r="R13" s="276">
        <f t="shared" si="8"/>
        <v>10</v>
      </c>
      <c r="S13" s="277">
        <f t="shared" si="8"/>
        <v>12</v>
      </c>
      <c r="T13" s="278">
        <f t="shared" si="0"/>
        <v>0.37332428304768367</v>
      </c>
      <c r="U13" s="279">
        <f>SUM(U8:U12)</f>
        <v>1</v>
      </c>
      <c r="V13" s="270">
        <f t="shared" ref="V13:AD13" si="9">SUM(V8:V12)</f>
        <v>1</v>
      </c>
      <c r="W13" s="270">
        <f t="shared" si="9"/>
        <v>3</v>
      </c>
      <c r="X13" s="270">
        <f t="shared" si="9"/>
        <v>5</v>
      </c>
      <c r="Y13" s="270">
        <f t="shared" si="9"/>
        <v>4</v>
      </c>
      <c r="Z13" s="270">
        <f t="shared" si="9"/>
        <v>6</v>
      </c>
      <c r="AA13" s="270">
        <f t="shared" si="9"/>
        <v>1</v>
      </c>
      <c r="AB13" s="270">
        <f t="shared" si="9"/>
        <v>5</v>
      </c>
      <c r="AC13" s="270">
        <f t="shared" si="9"/>
        <v>0</v>
      </c>
      <c r="AD13" s="271">
        <f t="shared" si="9"/>
        <v>0</v>
      </c>
      <c r="AE13" s="276">
        <f>SUM(AE8:AE12)</f>
        <v>9</v>
      </c>
      <c r="AF13" s="277">
        <f>SUM(AF8:AF12)</f>
        <v>17</v>
      </c>
      <c r="AG13" s="278">
        <f t="shared" si="1"/>
        <v>0.4412014254199898</v>
      </c>
      <c r="AH13" s="279">
        <f>SUM(AH8:AH12)</f>
        <v>4</v>
      </c>
      <c r="AI13" s="270">
        <f t="shared" ref="AI13:AM13" si="10">SUM(AI8:AI12)</f>
        <v>1</v>
      </c>
      <c r="AJ13" s="270">
        <f t="shared" si="10"/>
        <v>0</v>
      </c>
      <c r="AK13" s="270">
        <f>SUM(AK8:AK12)</f>
        <v>2</v>
      </c>
      <c r="AL13" s="271">
        <f t="shared" si="10"/>
        <v>0</v>
      </c>
      <c r="AM13" s="280">
        <f t="shared" si="10"/>
        <v>7</v>
      </c>
      <c r="AN13" s="278">
        <f t="shared" si="2"/>
        <v>0.11878499915153572</v>
      </c>
      <c r="AO13" s="279">
        <f>SUM(AO8:AO12)</f>
        <v>5</v>
      </c>
      <c r="AP13" s="270">
        <f t="shared" ref="AP13:AS13" si="11">SUM(AP8:AP12)</f>
        <v>2</v>
      </c>
      <c r="AQ13" s="270">
        <f t="shared" si="11"/>
        <v>2</v>
      </c>
      <c r="AR13" s="270">
        <f>SUM(AR8:AR12)</f>
        <v>1</v>
      </c>
      <c r="AS13" s="271">
        <f t="shared" si="11"/>
        <v>0</v>
      </c>
      <c r="AT13" s="281">
        <f>SUM(AT8:AT12)</f>
        <v>10</v>
      </c>
      <c r="AU13" s="279">
        <f>SUM(AU8:AU12)</f>
        <v>0</v>
      </c>
      <c r="AV13" s="270">
        <f t="shared" ref="AV13:AY13" si="12">SUM(AV8:AV12)</f>
        <v>0</v>
      </c>
      <c r="AW13" s="270">
        <f t="shared" si="12"/>
        <v>4</v>
      </c>
      <c r="AX13" s="270">
        <f>SUM(AX8:AX12)</f>
        <v>3</v>
      </c>
      <c r="AY13" s="271">
        <f t="shared" si="12"/>
        <v>0</v>
      </c>
      <c r="AZ13" s="281">
        <f>SUM(AZ8:AZ12)</f>
        <v>7</v>
      </c>
      <c r="BA13" s="279">
        <f>SUM(BA8:BA12)</f>
        <v>27</v>
      </c>
      <c r="BB13" s="270">
        <f t="shared" ref="BB13:BE13" si="13">SUM(BB8:BB12)</f>
        <v>26</v>
      </c>
      <c r="BC13" s="270">
        <f t="shared" si="13"/>
        <v>14</v>
      </c>
      <c r="BD13" s="270">
        <f>SUM(BD8:BD12)</f>
        <v>9</v>
      </c>
      <c r="BE13" s="271">
        <f t="shared" si="13"/>
        <v>6</v>
      </c>
      <c r="BF13" s="281">
        <f>SUM(BF8:BF12)</f>
        <v>82</v>
      </c>
      <c r="BG13" s="252"/>
      <c r="BH13" s="265"/>
      <c r="BI13" s="266"/>
      <c r="BJ13" s="252"/>
      <c r="BK13" s="252"/>
    </row>
    <row r="14" spans="1:63" s="240" customFormat="1" ht="16.2" thickBot="1" x14ac:dyDescent="0.4">
      <c r="A14" s="282" t="s">
        <v>171</v>
      </c>
      <c r="B14" s="283"/>
      <c r="C14" s="283"/>
      <c r="D14" s="283"/>
      <c r="E14" s="283"/>
      <c r="F14" s="283"/>
      <c r="G14" s="283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5">
        <f>R13/$G$13*100</f>
        <v>0.16969285593076533</v>
      </c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5">
        <f>AE13/$G$13*100</f>
        <v>0.15272357033768877</v>
      </c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6"/>
      <c r="AU14" s="286"/>
      <c r="AV14" s="286"/>
      <c r="AW14" s="286"/>
      <c r="AX14" s="286"/>
      <c r="AY14" s="286"/>
      <c r="AZ14" s="204"/>
      <c r="BA14" s="286"/>
      <c r="BB14" s="286"/>
      <c r="BC14" s="286"/>
      <c r="BD14" s="286"/>
      <c r="BE14" s="286"/>
      <c r="BF14" s="286"/>
      <c r="BG14" s="252"/>
      <c r="BH14" s="265"/>
      <c r="BI14" s="266"/>
      <c r="BJ14" s="252"/>
      <c r="BK14" s="252"/>
    </row>
    <row r="15" spans="1:63" ht="15.6" x14ac:dyDescent="0.35">
      <c r="A15" s="287"/>
      <c r="B15" s="288"/>
      <c r="C15" s="288"/>
      <c r="D15" s="288"/>
      <c r="E15" s="288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52"/>
      <c r="BH15" s="265"/>
      <c r="BI15" s="266"/>
      <c r="BJ15" s="254"/>
      <c r="BK15" s="254"/>
    </row>
    <row r="16" spans="1:63" ht="16.2" thickBot="1" x14ac:dyDescent="0.4">
      <c r="A16" s="289" t="s">
        <v>51</v>
      </c>
      <c r="B16" s="290"/>
      <c r="C16" s="290"/>
      <c r="D16" s="290"/>
      <c r="E16" s="290"/>
      <c r="F16" s="291"/>
      <c r="G16" s="284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52"/>
      <c r="BH16" s="265"/>
      <c r="BI16" s="266"/>
      <c r="BJ16" s="254"/>
      <c r="BK16" s="254"/>
    </row>
    <row r="17" spans="1:63" ht="16.2" thickBot="1" x14ac:dyDescent="0.4">
      <c r="A17" s="255" t="s">
        <v>4</v>
      </c>
      <c r="B17" s="256">
        <v>11</v>
      </c>
      <c r="C17" s="256">
        <v>4</v>
      </c>
      <c r="D17" s="256">
        <v>15</v>
      </c>
      <c r="E17" s="256">
        <v>22</v>
      </c>
      <c r="F17" s="258">
        <v>2</v>
      </c>
      <c r="G17" s="259">
        <f>SUM(B17:F17)</f>
        <v>54</v>
      </c>
      <c r="H17" s="260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1</v>
      </c>
      <c r="P17" s="256">
        <v>0</v>
      </c>
      <c r="Q17" s="258">
        <v>0</v>
      </c>
      <c r="R17" s="256">
        <f>H17+J17+L17+N17+P17</f>
        <v>0</v>
      </c>
      <c r="S17" s="258">
        <f>I17+K17+M17+O17+Q17</f>
        <v>1</v>
      </c>
      <c r="T17" s="261">
        <f t="shared" ref="T17:T28" si="14">(R17+S17)*100/G17</f>
        <v>1.8518518518518519</v>
      </c>
      <c r="U17" s="260">
        <v>0</v>
      </c>
      <c r="V17" s="256">
        <v>0</v>
      </c>
      <c r="W17" s="256">
        <v>0</v>
      </c>
      <c r="X17" s="256">
        <v>0</v>
      </c>
      <c r="Y17" s="256">
        <v>0</v>
      </c>
      <c r="Z17" s="256">
        <v>0</v>
      </c>
      <c r="AA17" s="256">
        <v>0</v>
      </c>
      <c r="AB17" s="256">
        <v>1</v>
      </c>
      <c r="AC17" s="256">
        <v>0</v>
      </c>
      <c r="AD17" s="256">
        <v>0</v>
      </c>
      <c r="AE17" s="256">
        <f>U17+W17+Y17+AA17+AC17</f>
        <v>0</v>
      </c>
      <c r="AF17" s="256">
        <f>V17+X17+Z17+AB17+AD17</f>
        <v>1</v>
      </c>
      <c r="AG17" s="261">
        <f t="shared" ref="AG17:AG28" si="15">(AE17+AF17)*100/G17</f>
        <v>1.8518518518518519</v>
      </c>
      <c r="AH17" s="256">
        <v>0</v>
      </c>
      <c r="AI17" s="256">
        <v>0</v>
      </c>
      <c r="AJ17" s="256">
        <v>1</v>
      </c>
      <c r="AK17" s="256">
        <v>0</v>
      </c>
      <c r="AL17" s="256">
        <v>0</v>
      </c>
      <c r="AM17" s="263">
        <f>SUM(AH17:AL17)</f>
        <v>1</v>
      </c>
      <c r="AN17" s="261">
        <f t="shared" ref="AN17:AN28" si="16">AM17*100/G17</f>
        <v>1.8518518518518519</v>
      </c>
      <c r="AO17" s="256">
        <v>0</v>
      </c>
      <c r="AP17" s="256">
        <v>0</v>
      </c>
      <c r="AQ17" s="256">
        <v>0</v>
      </c>
      <c r="AR17" s="256">
        <v>0</v>
      </c>
      <c r="AS17" s="256">
        <v>0</v>
      </c>
      <c r="AT17" s="256">
        <f>SUM(AO17:AS17)</f>
        <v>0</v>
      </c>
      <c r="AU17" s="263">
        <v>0</v>
      </c>
      <c r="AV17" s="263">
        <v>0</v>
      </c>
      <c r="AW17" s="263">
        <v>0</v>
      </c>
      <c r="AX17" s="263">
        <v>1</v>
      </c>
      <c r="AY17" s="263">
        <v>0</v>
      </c>
      <c r="AZ17" s="256">
        <f>SUM(AU17:AY17)</f>
        <v>1</v>
      </c>
      <c r="BA17" s="263">
        <v>0</v>
      </c>
      <c r="BB17" s="263">
        <v>0</v>
      </c>
      <c r="BC17" s="263">
        <v>0</v>
      </c>
      <c r="BD17" s="263">
        <v>0</v>
      </c>
      <c r="BE17" s="263">
        <v>0</v>
      </c>
      <c r="BF17" s="256">
        <f>SUM(BA17:BE17)</f>
        <v>0</v>
      </c>
      <c r="BG17" s="252"/>
      <c r="BH17" s="265"/>
      <c r="BI17" s="266"/>
      <c r="BJ17" s="254"/>
      <c r="BK17" s="254"/>
    </row>
    <row r="18" spans="1:63" ht="16.2" thickBot="1" x14ac:dyDescent="0.4">
      <c r="A18" s="255" t="s">
        <v>5</v>
      </c>
      <c r="B18" s="256">
        <v>213</v>
      </c>
      <c r="C18" s="256">
        <v>79</v>
      </c>
      <c r="D18" s="256">
        <v>290</v>
      </c>
      <c r="E18" s="256">
        <v>399</v>
      </c>
      <c r="F18" s="258">
        <v>128</v>
      </c>
      <c r="G18" s="259">
        <f t="shared" ref="G18:G27" si="17">SUM(B18:F18)</f>
        <v>1109</v>
      </c>
      <c r="H18" s="260">
        <v>1</v>
      </c>
      <c r="I18" s="256">
        <v>0</v>
      </c>
      <c r="J18" s="256">
        <v>0</v>
      </c>
      <c r="K18" s="256">
        <v>0</v>
      </c>
      <c r="L18" s="256">
        <v>1</v>
      </c>
      <c r="M18" s="256">
        <v>1</v>
      </c>
      <c r="N18" s="256">
        <v>0</v>
      </c>
      <c r="O18" s="256">
        <v>1</v>
      </c>
      <c r="P18" s="256">
        <v>0</v>
      </c>
      <c r="Q18" s="258">
        <v>0</v>
      </c>
      <c r="R18" s="256">
        <f t="shared" ref="R18:S27" si="18">H18+J18+L18+N18+P18</f>
        <v>2</v>
      </c>
      <c r="S18" s="258">
        <f t="shared" si="18"/>
        <v>2</v>
      </c>
      <c r="T18" s="261">
        <f t="shared" si="14"/>
        <v>0.36068530207394051</v>
      </c>
      <c r="U18" s="260">
        <v>0</v>
      </c>
      <c r="V18" s="256">
        <v>0</v>
      </c>
      <c r="W18" s="256">
        <v>0</v>
      </c>
      <c r="X18" s="256">
        <v>0</v>
      </c>
      <c r="Y18" s="256">
        <v>1</v>
      </c>
      <c r="Z18" s="256">
        <v>2</v>
      </c>
      <c r="AA18" s="256">
        <v>2</v>
      </c>
      <c r="AB18" s="256">
        <v>0</v>
      </c>
      <c r="AC18" s="256">
        <v>0</v>
      </c>
      <c r="AD18" s="256">
        <v>0</v>
      </c>
      <c r="AE18" s="256">
        <f t="shared" ref="AE18:AF27" si="19">U18+W18+Y18+AA18+AC18</f>
        <v>3</v>
      </c>
      <c r="AF18" s="256">
        <f t="shared" si="19"/>
        <v>2</v>
      </c>
      <c r="AG18" s="261">
        <f t="shared" si="15"/>
        <v>0.45085662759242562</v>
      </c>
      <c r="AH18" s="256">
        <v>1</v>
      </c>
      <c r="AI18" s="256">
        <v>0</v>
      </c>
      <c r="AJ18" s="256">
        <v>1</v>
      </c>
      <c r="AK18" s="256">
        <v>0</v>
      </c>
      <c r="AL18" s="256">
        <v>0</v>
      </c>
      <c r="AM18" s="256">
        <f>SUM(AH18:AL18)</f>
        <v>2</v>
      </c>
      <c r="AN18" s="261">
        <f t="shared" si="16"/>
        <v>0.18034265103697025</v>
      </c>
      <c r="AO18" s="256">
        <v>0</v>
      </c>
      <c r="AP18" s="256">
        <v>0</v>
      </c>
      <c r="AQ18" s="256">
        <v>0</v>
      </c>
      <c r="AR18" s="256">
        <v>0</v>
      </c>
      <c r="AS18" s="256">
        <v>0</v>
      </c>
      <c r="AT18" s="256">
        <f t="shared" ref="AT18:AT27" si="20">SUM(AO18:AS18)</f>
        <v>0</v>
      </c>
      <c r="AU18" s="263">
        <v>0</v>
      </c>
      <c r="AV18" s="263">
        <v>0</v>
      </c>
      <c r="AW18" s="263">
        <v>0</v>
      </c>
      <c r="AX18" s="263">
        <v>1</v>
      </c>
      <c r="AY18" s="263">
        <v>0</v>
      </c>
      <c r="AZ18" s="256">
        <f t="shared" ref="AZ18:AZ27" si="21">SUM(AU18:AY18)</f>
        <v>1</v>
      </c>
      <c r="BA18" s="263">
        <v>5</v>
      </c>
      <c r="BB18" s="263">
        <v>4</v>
      </c>
      <c r="BC18" s="263">
        <v>2</v>
      </c>
      <c r="BD18" s="263">
        <v>1</v>
      </c>
      <c r="BE18" s="263">
        <v>0</v>
      </c>
      <c r="BF18" s="256">
        <f t="shared" ref="BF18:BF27" si="22">SUM(BA18:BE18)</f>
        <v>12</v>
      </c>
      <c r="BG18" s="252"/>
      <c r="BH18" s="265"/>
      <c r="BI18" s="266"/>
      <c r="BJ18" s="254"/>
      <c r="BK18" s="254"/>
    </row>
    <row r="19" spans="1:63" ht="16.2" thickBot="1" x14ac:dyDescent="0.4">
      <c r="A19" s="255" t="s">
        <v>6</v>
      </c>
      <c r="B19" s="292">
        <v>36</v>
      </c>
      <c r="C19" s="256">
        <v>21</v>
      </c>
      <c r="D19" s="256">
        <v>66</v>
      </c>
      <c r="E19" s="256">
        <v>49</v>
      </c>
      <c r="F19" s="258">
        <v>19</v>
      </c>
      <c r="G19" s="259">
        <f t="shared" si="17"/>
        <v>191</v>
      </c>
      <c r="H19" s="260">
        <v>0</v>
      </c>
      <c r="I19" s="256">
        <v>0</v>
      </c>
      <c r="J19" s="256">
        <v>0</v>
      </c>
      <c r="K19" s="256">
        <v>0</v>
      </c>
      <c r="L19" s="256">
        <v>0</v>
      </c>
      <c r="M19" s="256">
        <v>0</v>
      </c>
      <c r="N19" s="256">
        <v>0</v>
      </c>
      <c r="O19" s="256">
        <v>0</v>
      </c>
      <c r="P19" s="256">
        <v>0</v>
      </c>
      <c r="Q19" s="258">
        <v>0</v>
      </c>
      <c r="R19" s="256">
        <f t="shared" si="18"/>
        <v>0</v>
      </c>
      <c r="S19" s="258">
        <f t="shared" si="18"/>
        <v>0</v>
      </c>
      <c r="T19" s="261">
        <f t="shared" si="14"/>
        <v>0</v>
      </c>
      <c r="U19" s="260">
        <v>0</v>
      </c>
      <c r="V19" s="256">
        <v>0</v>
      </c>
      <c r="W19" s="256">
        <v>0</v>
      </c>
      <c r="X19" s="256">
        <v>0</v>
      </c>
      <c r="Y19" s="256">
        <v>0</v>
      </c>
      <c r="Z19" s="256">
        <v>0</v>
      </c>
      <c r="AA19" s="256">
        <v>0</v>
      </c>
      <c r="AB19" s="256">
        <v>1</v>
      </c>
      <c r="AC19" s="256">
        <v>0</v>
      </c>
      <c r="AD19" s="256">
        <v>0</v>
      </c>
      <c r="AE19" s="256">
        <f t="shared" si="19"/>
        <v>0</v>
      </c>
      <c r="AF19" s="256">
        <f t="shared" si="19"/>
        <v>1</v>
      </c>
      <c r="AG19" s="261">
        <f t="shared" si="15"/>
        <v>0.52356020942408377</v>
      </c>
      <c r="AH19" s="256">
        <v>0</v>
      </c>
      <c r="AI19" s="256">
        <v>0</v>
      </c>
      <c r="AJ19" s="256">
        <v>0</v>
      </c>
      <c r="AK19" s="256">
        <v>0</v>
      </c>
      <c r="AL19" s="256">
        <v>0</v>
      </c>
      <c r="AM19" s="256">
        <f>SUM(AH19:AL19)</f>
        <v>0</v>
      </c>
      <c r="AN19" s="261">
        <f t="shared" si="16"/>
        <v>0</v>
      </c>
      <c r="AO19" s="256">
        <v>0</v>
      </c>
      <c r="AP19" s="256">
        <v>1</v>
      </c>
      <c r="AQ19" s="256">
        <v>0</v>
      </c>
      <c r="AR19" s="256">
        <v>0</v>
      </c>
      <c r="AS19" s="256">
        <v>0</v>
      </c>
      <c r="AT19" s="256">
        <f t="shared" si="20"/>
        <v>1</v>
      </c>
      <c r="AU19" s="263">
        <v>0</v>
      </c>
      <c r="AV19" s="263">
        <v>0</v>
      </c>
      <c r="AW19" s="263">
        <v>0</v>
      </c>
      <c r="AX19" s="263">
        <v>0</v>
      </c>
      <c r="AY19" s="263">
        <v>0</v>
      </c>
      <c r="AZ19" s="256">
        <f t="shared" si="21"/>
        <v>0</v>
      </c>
      <c r="BA19" s="263">
        <v>0</v>
      </c>
      <c r="BB19" s="263">
        <v>0</v>
      </c>
      <c r="BC19" s="263">
        <v>0</v>
      </c>
      <c r="BD19" s="263">
        <v>0</v>
      </c>
      <c r="BE19" s="263">
        <v>0</v>
      </c>
      <c r="BF19" s="256">
        <f t="shared" si="22"/>
        <v>0</v>
      </c>
      <c r="BG19" s="252"/>
      <c r="BH19" s="265"/>
      <c r="BI19" s="266"/>
      <c r="BJ19" s="254"/>
      <c r="BK19" s="254"/>
    </row>
    <row r="20" spans="1:63" ht="16.2" thickBot="1" x14ac:dyDescent="0.4">
      <c r="A20" s="255" t="s">
        <v>7</v>
      </c>
      <c r="B20" s="256">
        <v>12</v>
      </c>
      <c r="C20" s="256">
        <v>2</v>
      </c>
      <c r="D20" s="256">
        <v>24</v>
      </c>
      <c r="E20" s="256">
        <v>12</v>
      </c>
      <c r="F20" s="258">
        <v>16</v>
      </c>
      <c r="G20" s="259">
        <f t="shared" si="17"/>
        <v>66</v>
      </c>
      <c r="H20" s="260">
        <v>0</v>
      </c>
      <c r="I20" s="256">
        <v>0</v>
      </c>
      <c r="J20" s="256">
        <v>0</v>
      </c>
      <c r="K20" s="256">
        <v>0</v>
      </c>
      <c r="L20" s="256">
        <v>0</v>
      </c>
      <c r="M20" s="256">
        <v>0</v>
      </c>
      <c r="N20" s="256">
        <v>0</v>
      </c>
      <c r="O20" s="256">
        <v>0</v>
      </c>
      <c r="P20" s="256">
        <v>0</v>
      </c>
      <c r="Q20" s="258">
        <v>0</v>
      </c>
      <c r="R20" s="256">
        <f t="shared" si="18"/>
        <v>0</v>
      </c>
      <c r="S20" s="258">
        <f t="shared" si="18"/>
        <v>0</v>
      </c>
      <c r="T20" s="261">
        <f t="shared" si="14"/>
        <v>0</v>
      </c>
      <c r="U20" s="260">
        <v>0</v>
      </c>
      <c r="V20" s="256">
        <v>0</v>
      </c>
      <c r="W20" s="256">
        <v>0</v>
      </c>
      <c r="X20" s="256">
        <v>0</v>
      </c>
      <c r="Y20" s="256">
        <v>0</v>
      </c>
      <c r="Z20" s="256">
        <v>0</v>
      </c>
      <c r="AA20" s="256">
        <v>0</v>
      </c>
      <c r="AB20" s="256">
        <v>0</v>
      </c>
      <c r="AC20" s="256">
        <v>0</v>
      </c>
      <c r="AD20" s="256">
        <v>0</v>
      </c>
      <c r="AE20" s="256">
        <f t="shared" si="19"/>
        <v>0</v>
      </c>
      <c r="AF20" s="256">
        <f t="shared" si="19"/>
        <v>0</v>
      </c>
      <c r="AG20" s="261">
        <f t="shared" si="15"/>
        <v>0</v>
      </c>
      <c r="AH20" s="256">
        <v>0</v>
      </c>
      <c r="AI20" s="256">
        <v>0</v>
      </c>
      <c r="AJ20" s="256">
        <v>0</v>
      </c>
      <c r="AK20" s="256">
        <v>0</v>
      </c>
      <c r="AL20" s="256">
        <v>0</v>
      </c>
      <c r="AM20" s="263">
        <f t="shared" ref="AM20:AM23" si="23">SUM(AH20:AL20)</f>
        <v>0</v>
      </c>
      <c r="AN20" s="261">
        <f t="shared" si="16"/>
        <v>0</v>
      </c>
      <c r="AO20" s="256">
        <v>0</v>
      </c>
      <c r="AP20" s="256">
        <v>0</v>
      </c>
      <c r="AQ20" s="256">
        <v>0</v>
      </c>
      <c r="AR20" s="256">
        <v>0</v>
      </c>
      <c r="AS20" s="256">
        <v>0</v>
      </c>
      <c r="AT20" s="256">
        <f t="shared" si="20"/>
        <v>0</v>
      </c>
      <c r="AU20" s="263">
        <v>0</v>
      </c>
      <c r="AV20" s="263">
        <v>0</v>
      </c>
      <c r="AW20" s="263">
        <v>0</v>
      </c>
      <c r="AX20" s="263">
        <v>0</v>
      </c>
      <c r="AY20" s="263">
        <v>0</v>
      </c>
      <c r="AZ20" s="256">
        <f t="shared" si="21"/>
        <v>0</v>
      </c>
      <c r="BA20" s="263">
        <v>0</v>
      </c>
      <c r="BB20" s="263">
        <v>0</v>
      </c>
      <c r="BC20" s="263">
        <v>0</v>
      </c>
      <c r="BD20" s="263">
        <v>0</v>
      </c>
      <c r="BE20" s="263">
        <v>0</v>
      </c>
      <c r="BF20" s="256">
        <f t="shared" si="22"/>
        <v>0</v>
      </c>
      <c r="BG20" s="252"/>
      <c r="BH20" s="265"/>
      <c r="BI20" s="266"/>
      <c r="BJ20" s="254"/>
      <c r="BK20" s="254"/>
    </row>
    <row r="21" spans="1:63" ht="16.2" thickBot="1" x14ac:dyDescent="0.4">
      <c r="A21" s="255" t="s">
        <v>8</v>
      </c>
      <c r="B21" s="256">
        <v>4</v>
      </c>
      <c r="C21" s="256">
        <v>2</v>
      </c>
      <c r="D21" s="256">
        <v>8</v>
      </c>
      <c r="E21" s="256">
        <v>6</v>
      </c>
      <c r="F21" s="258">
        <v>5</v>
      </c>
      <c r="G21" s="259">
        <f t="shared" si="17"/>
        <v>25</v>
      </c>
      <c r="H21" s="260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0</v>
      </c>
      <c r="P21" s="256">
        <v>0</v>
      </c>
      <c r="Q21" s="258">
        <v>0</v>
      </c>
      <c r="R21" s="256">
        <f t="shared" si="18"/>
        <v>0</v>
      </c>
      <c r="S21" s="258">
        <f t="shared" si="18"/>
        <v>0</v>
      </c>
      <c r="T21" s="261">
        <f t="shared" si="14"/>
        <v>0</v>
      </c>
      <c r="U21" s="260">
        <v>0</v>
      </c>
      <c r="V21" s="256">
        <v>0</v>
      </c>
      <c r="W21" s="256">
        <v>0</v>
      </c>
      <c r="X21" s="256">
        <v>0</v>
      </c>
      <c r="Y21" s="256">
        <v>0</v>
      </c>
      <c r="Z21" s="256">
        <v>0</v>
      </c>
      <c r="AA21" s="256">
        <v>0</v>
      </c>
      <c r="AB21" s="256">
        <v>0</v>
      </c>
      <c r="AC21" s="256">
        <v>0</v>
      </c>
      <c r="AD21" s="256">
        <v>0</v>
      </c>
      <c r="AE21" s="256">
        <f t="shared" si="19"/>
        <v>0</v>
      </c>
      <c r="AF21" s="256">
        <f t="shared" si="19"/>
        <v>0</v>
      </c>
      <c r="AG21" s="261">
        <f t="shared" si="15"/>
        <v>0</v>
      </c>
      <c r="AH21" s="256">
        <v>0</v>
      </c>
      <c r="AI21" s="256">
        <v>0</v>
      </c>
      <c r="AJ21" s="256">
        <v>0</v>
      </c>
      <c r="AK21" s="256">
        <v>0</v>
      </c>
      <c r="AL21" s="256">
        <v>0</v>
      </c>
      <c r="AM21" s="256">
        <f>SUM(AH21:AL21)</f>
        <v>0</v>
      </c>
      <c r="AN21" s="261">
        <f t="shared" si="16"/>
        <v>0</v>
      </c>
      <c r="AO21" s="256">
        <v>0</v>
      </c>
      <c r="AP21" s="256">
        <v>0</v>
      </c>
      <c r="AQ21" s="256">
        <v>0</v>
      </c>
      <c r="AR21" s="256">
        <v>0</v>
      </c>
      <c r="AS21" s="256">
        <v>0</v>
      </c>
      <c r="AT21" s="256">
        <f t="shared" si="20"/>
        <v>0</v>
      </c>
      <c r="AU21" s="263">
        <v>0</v>
      </c>
      <c r="AV21" s="263">
        <v>0</v>
      </c>
      <c r="AW21" s="263">
        <v>0</v>
      </c>
      <c r="AX21" s="263">
        <v>0</v>
      </c>
      <c r="AY21" s="263">
        <v>0</v>
      </c>
      <c r="AZ21" s="256">
        <f t="shared" si="21"/>
        <v>0</v>
      </c>
      <c r="BA21" s="263">
        <v>0</v>
      </c>
      <c r="BB21" s="263">
        <v>0</v>
      </c>
      <c r="BC21" s="263">
        <v>0</v>
      </c>
      <c r="BD21" s="263">
        <v>0</v>
      </c>
      <c r="BE21" s="263">
        <v>0</v>
      </c>
      <c r="BF21" s="256">
        <f t="shared" si="22"/>
        <v>0</v>
      </c>
      <c r="BG21" s="252"/>
      <c r="BH21" s="265"/>
      <c r="BI21" s="266"/>
      <c r="BJ21" s="254"/>
      <c r="BK21" s="254"/>
    </row>
    <row r="22" spans="1:63" ht="16.2" thickBot="1" x14ac:dyDescent="0.4">
      <c r="A22" s="255" t="s">
        <v>9</v>
      </c>
      <c r="B22" s="256">
        <v>11</v>
      </c>
      <c r="C22" s="256">
        <v>4</v>
      </c>
      <c r="D22" s="256">
        <v>15</v>
      </c>
      <c r="E22" s="256">
        <v>6</v>
      </c>
      <c r="F22" s="258">
        <v>5</v>
      </c>
      <c r="G22" s="259">
        <f t="shared" si="17"/>
        <v>41</v>
      </c>
      <c r="H22" s="260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8">
        <v>0</v>
      </c>
      <c r="R22" s="256">
        <f t="shared" si="18"/>
        <v>0</v>
      </c>
      <c r="S22" s="258">
        <f t="shared" si="18"/>
        <v>0</v>
      </c>
      <c r="T22" s="261">
        <f t="shared" si="14"/>
        <v>0</v>
      </c>
      <c r="U22" s="260">
        <v>0</v>
      </c>
      <c r="V22" s="256">
        <v>0</v>
      </c>
      <c r="W22" s="256">
        <v>0</v>
      </c>
      <c r="X22" s="256">
        <v>0</v>
      </c>
      <c r="Y22" s="256">
        <v>0</v>
      </c>
      <c r="Z22" s="256">
        <v>0</v>
      </c>
      <c r="AA22" s="256">
        <v>0</v>
      </c>
      <c r="AB22" s="256">
        <v>0</v>
      </c>
      <c r="AC22" s="256">
        <v>0</v>
      </c>
      <c r="AD22" s="256">
        <v>0</v>
      </c>
      <c r="AE22" s="256">
        <f t="shared" si="19"/>
        <v>0</v>
      </c>
      <c r="AF22" s="256">
        <f t="shared" si="19"/>
        <v>0</v>
      </c>
      <c r="AG22" s="261">
        <f t="shared" si="15"/>
        <v>0</v>
      </c>
      <c r="AH22" s="256">
        <v>0</v>
      </c>
      <c r="AI22" s="256">
        <v>0</v>
      </c>
      <c r="AJ22" s="256">
        <v>0</v>
      </c>
      <c r="AK22" s="256">
        <v>0</v>
      </c>
      <c r="AL22" s="256">
        <v>0</v>
      </c>
      <c r="AM22" s="263">
        <f t="shared" si="23"/>
        <v>0</v>
      </c>
      <c r="AN22" s="261">
        <f t="shared" si="16"/>
        <v>0</v>
      </c>
      <c r="AO22" s="256">
        <v>2</v>
      </c>
      <c r="AP22" s="256">
        <v>0</v>
      </c>
      <c r="AQ22" s="256">
        <v>0</v>
      </c>
      <c r="AR22" s="256">
        <v>0</v>
      </c>
      <c r="AS22" s="256">
        <v>0</v>
      </c>
      <c r="AT22" s="256">
        <f t="shared" si="20"/>
        <v>2</v>
      </c>
      <c r="AU22" s="263">
        <v>0</v>
      </c>
      <c r="AV22" s="263">
        <v>0</v>
      </c>
      <c r="AW22" s="263">
        <v>0</v>
      </c>
      <c r="AX22" s="263">
        <v>0</v>
      </c>
      <c r="AY22" s="263">
        <v>0</v>
      </c>
      <c r="AZ22" s="256">
        <f t="shared" si="21"/>
        <v>0</v>
      </c>
      <c r="BA22" s="263">
        <v>0</v>
      </c>
      <c r="BB22" s="263">
        <v>0</v>
      </c>
      <c r="BC22" s="263">
        <v>0</v>
      </c>
      <c r="BD22" s="263">
        <v>0</v>
      </c>
      <c r="BE22" s="263">
        <v>0</v>
      </c>
      <c r="BF22" s="256">
        <f t="shared" si="22"/>
        <v>0</v>
      </c>
      <c r="BG22" s="252"/>
      <c r="BH22" s="265"/>
      <c r="BI22" s="266"/>
      <c r="BJ22" s="254"/>
      <c r="BK22" s="254"/>
    </row>
    <row r="23" spans="1:63" ht="16.2" thickBot="1" x14ac:dyDescent="0.4">
      <c r="A23" s="255" t="s">
        <v>10</v>
      </c>
      <c r="B23" s="256">
        <v>4</v>
      </c>
      <c r="C23" s="256">
        <v>2</v>
      </c>
      <c r="D23" s="256">
        <v>5</v>
      </c>
      <c r="E23" s="256">
        <v>10</v>
      </c>
      <c r="F23" s="258">
        <v>3</v>
      </c>
      <c r="G23" s="259">
        <f t="shared" si="17"/>
        <v>24</v>
      </c>
      <c r="H23" s="260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8">
        <v>0</v>
      </c>
      <c r="R23" s="256">
        <f t="shared" si="18"/>
        <v>0</v>
      </c>
      <c r="S23" s="258">
        <f t="shared" si="18"/>
        <v>0</v>
      </c>
      <c r="T23" s="261">
        <f t="shared" si="14"/>
        <v>0</v>
      </c>
      <c r="U23" s="260">
        <v>0</v>
      </c>
      <c r="V23" s="256">
        <v>0</v>
      </c>
      <c r="W23" s="256">
        <v>0</v>
      </c>
      <c r="X23" s="256">
        <v>0</v>
      </c>
      <c r="Y23" s="256">
        <v>0</v>
      </c>
      <c r="Z23" s="256">
        <v>0</v>
      </c>
      <c r="AA23" s="256">
        <v>0</v>
      </c>
      <c r="AB23" s="256">
        <v>0</v>
      </c>
      <c r="AC23" s="256">
        <v>0</v>
      </c>
      <c r="AD23" s="256">
        <v>0</v>
      </c>
      <c r="AE23" s="256">
        <f t="shared" si="19"/>
        <v>0</v>
      </c>
      <c r="AF23" s="256">
        <f t="shared" si="19"/>
        <v>0</v>
      </c>
      <c r="AG23" s="261">
        <f t="shared" si="15"/>
        <v>0</v>
      </c>
      <c r="AH23" s="256">
        <v>0</v>
      </c>
      <c r="AI23" s="256">
        <v>0</v>
      </c>
      <c r="AJ23" s="256">
        <v>0</v>
      </c>
      <c r="AK23" s="256">
        <v>0</v>
      </c>
      <c r="AL23" s="256">
        <v>0</v>
      </c>
      <c r="AM23" s="263">
        <f t="shared" si="23"/>
        <v>0</v>
      </c>
      <c r="AN23" s="261">
        <f t="shared" si="16"/>
        <v>0</v>
      </c>
      <c r="AO23" s="256">
        <v>0</v>
      </c>
      <c r="AP23" s="256">
        <v>0</v>
      </c>
      <c r="AQ23" s="256">
        <v>0</v>
      </c>
      <c r="AR23" s="256">
        <v>0</v>
      </c>
      <c r="AS23" s="256">
        <v>0</v>
      </c>
      <c r="AT23" s="256">
        <f t="shared" si="20"/>
        <v>0</v>
      </c>
      <c r="AU23" s="263">
        <v>0</v>
      </c>
      <c r="AV23" s="263">
        <v>0</v>
      </c>
      <c r="AW23" s="263">
        <v>0</v>
      </c>
      <c r="AX23" s="263">
        <v>0</v>
      </c>
      <c r="AY23" s="263">
        <v>0</v>
      </c>
      <c r="AZ23" s="256">
        <f t="shared" si="21"/>
        <v>0</v>
      </c>
      <c r="BA23" s="263">
        <v>0</v>
      </c>
      <c r="BB23" s="263">
        <v>0</v>
      </c>
      <c r="BC23" s="263">
        <v>0</v>
      </c>
      <c r="BD23" s="263">
        <v>0</v>
      </c>
      <c r="BE23" s="263">
        <v>0</v>
      </c>
      <c r="BF23" s="256">
        <f t="shared" si="22"/>
        <v>0</v>
      </c>
      <c r="BG23" s="252"/>
      <c r="BH23" s="265"/>
      <c r="BI23" s="266"/>
      <c r="BJ23" s="254"/>
      <c r="BK23" s="254"/>
    </row>
    <row r="24" spans="1:63" ht="16.2" thickBot="1" x14ac:dyDescent="0.4">
      <c r="A24" s="255" t="s">
        <v>11</v>
      </c>
      <c r="B24" s="256">
        <v>106</v>
      </c>
      <c r="C24" s="256">
        <v>25</v>
      </c>
      <c r="D24" s="256">
        <v>129</v>
      </c>
      <c r="E24" s="256">
        <v>132</v>
      </c>
      <c r="F24" s="258">
        <v>42</v>
      </c>
      <c r="G24" s="259">
        <f t="shared" si="17"/>
        <v>434</v>
      </c>
      <c r="H24" s="260">
        <v>0</v>
      </c>
      <c r="I24" s="256">
        <v>0</v>
      </c>
      <c r="J24" s="256">
        <v>0</v>
      </c>
      <c r="K24" s="256">
        <v>0</v>
      </c>
      <c r="L24" s="256">
        <v>0</v>
      </c>
      <c r="M24" s="256">
        <v>1</v>
      </c>
      <c r="N24" s="256">
        <v>0</v>
      </c>
      <c r="O24" s="256">
        <v>0</v>
      </c>
      <c r="P24" s="256">
        <v>0</v>
      </c>
      <c r="Q24" s="258">
        <v>0</v>
      </c>
      <c r="R24" s="256">
        <f t="shared" si="18"/>
        <v>0</v>
      </c>
      <c r="S24" s="258">
        <f t="shared" si="18"/>
        <v>1</v>
      </c>
      <c r="T24" s="261">
        <f t="shared" si="14"/>
        <v>0.2304147465437788</v>
      </c>
      <c r="U24" s="260">
        <v>0</v>
      </c>
      <c r="V24" s="256">
        <v>1</v>
      </c>
      <c r="W24" s="256">
        <v>0</v>
      </c>
      <c r="X24" s="256">
        <v>0</v>
      </c>
      <c r="Y24" s="256">
        <v>0</v>
      </c>
      <c r="Z24" s="256">
        <v>3</v>
      </c>
      <c r="AA24" s="256">
        <v>0</v>
      </c>
      <c r="AB24" s="256">
        <v>0</v>
      </c>
      <c r="AC24" s="256">
        <v>0</v>
      </c>
      <c r="AD24" s="256">
        <v>0</v>
      </c>
      <c r="AE24" s="256">
        <f t="shared" si="19"/>
        <v>0</v>
      </c>
      <c r="AF24" s="256">
        <f t="shared" si="19"/>
        <v>4</v>
      </c>
      <c r="AG24" s="261">
        <f t="shared" si="15"/>
        <v>0.92165898617511521</v>
      </c>
      <c r="AH24" s="256">
        <v>2</v>
      </c>
      <c r="AI24" s="256">
        <v>0</v>
      </c>
      <c r="AJ24" s="256">
        <v>1</v>
      </c>
      <c r="AK24" s="256">
        <v>1</v>
      </c>
      <c r="AL24" s="256">
        <v>1</v>
      </c>
      <c r="AM24" s="256">
        <f>SUM(AH24:AL24)</f>
        <v>5</v>
      </c>
      <c r="AN24" s="261">
        <f t="shared" si="16"/>
        <v>1.1520737327188939</v>
      </c>
      <c r="AO24" s="256">
        <v>0</v>
      </c>
      <c r="AP24" s="256">
        <v>1</v>
      </c>
      <c r="AQ24" s="256">
        <v>0</v>
      </c>
      <c r="AR24" s="256">
        <v>0</v>
      </c>
      <c r="AS24" s="256">
        <v>0</v>
      </c>
      <c r="AT24" s="256">
        <f t="shared" si="20"/>
        <v>1</v>
      </c>
      <c r="AU24" s="263">
        <v>0</v>
      </c>
      <c r="AV24" s="263">
        <v>0</v>
      </c>
      <c r="AW24" s="263">
        <v>0</v>
      </c>
      <c r="AX24" s="263">
        <v>0</v>
      </c>
      <c r="AY24" s="263">
        <v>0</v>
      </c>
      <c r="AZ24" s="256">
        <f t="shared" si="21"/>
        <v>0</v>
      </c>
      <c r="BA24" s="263">
        <v>5</v>
      </c>
      <c r="BB24" s="263">
        <v>1</v>
      </c>
      <c r="BC24" s="263">
        <v>4</v>
      </c>
      <c r="BD24" s="263">
        <v>1</v>
      </c>
      <c r="BE24" s="263">
        <v>0</v>
      </c>
      <c r="BF24" s="256">
        <f t="shared" si="22"/>
        <v>11</v>
      </c>
      <c r="BG24" s="252"/>
      <c r="BH24" s="265"/>
      <c r="BI24" s="266"/>
      <c r="BJ24" s="254"/>
      <c r="BK24" s="254"/>
    </row>
    <row r="25" spans="1:63" ht="16.2" thickBot="1" x14ac:dyDescent="0.4">
      <c r="A25" s="255" t="s">
        <v>12</v>
      </c>
      <c r="B25" s="256">
        <v>704</v>
      </c>
      <c r="C25" s="256">
        <v>390</v>
      </c>
      <c r="D25" s="256">
        <v>1232</v>
      </c>
      <c r="E25" s="256">
        <v>1063</v>
      </c>
      <c r="F25" s="258">
        <v>503</v>
      </c>
      <c r="G25" s="259">
        <f t="shared" si="17"/>
        <v>3892</v>
      </c>
      <c r="H25" s="260">
        <v>1</v>
      </c>
      <c r="I25" s="256">
        <v>1</v>
      </c>
      <c r="J25" s="256">
        <v>0</v>
      </c>
      <c r="K25" s="256">
        <v>1</v>
      </c>
      <c r="L25" s="256">
        <v>8</v>
      </c>
      <c r="M25" s="256">
        <v>2</v>
      </c>
      <c r="N25" s="256">
        <v>2</v>
      </c>
      <c r="O25" s="256">
        <v>1</v>
      </c>
      <c r="P25" s="256">
        <v>0</v>
      </c>
      <c r="Q25" s="258">
        <v>1</v>
      </c>
      <c r="R25" s="256">
        <f t="shared" si="18"/>
        <v>11</v>
      </c>
      <c r="S25" s="258">
        <f t="shared" si="18"/>
        <v>6</v>
      </c>
      <c r="T25" s="261">
        <f t="shared" si="14"/>
        <v>0.43679342240493318</v>
      </c>
      <c r="U25" s="260">
        <v>0</v>
      </c>
      <c r="V25" s="256">
        <v>4</v>
      </c>
      <c r="W25" s="256">
        <v>1</v>
      </c>
      <c r="X25" s="256">
        <v>0</v>
      </c>
      <c r="Y25" s="256">
        <v>2</v>
      </c>
      <c r="Z25" s="256">
        <v>4</v>
      </c>
      <c r="AA25" s="256">
        <v>2</v>
      </c>
      <c r="AB25" s="256">
        <v>5</v>
      </c>
      <c r="AC25" s="256">
        <v>0</v>
      </c>
      <c r="AD25" s="256">
        <v>0</v>
      </c>
      <c r="AE25" s="256">
        <f t="shared" si="19"/>
        <v>5</v>
      </c>
      <c r="AF25" s="256">
        <f t="shared" si="19"/>
        <v>13</v>
      </c>
      <c r="AG25" s="261">
        <f t="shared" si="15"/>
        <v>0.46248715313463518</v>
      </c>
      <c r="AH25" s="256">
        <v>6</v>
      </c>
      <c r="AI25" s="256">
        <v>1</v>
      </c>
      <c r="AJ25" s="256">
        <v>1</v>
      </c>
      <c r="AK25" s="256">
        <v>0</v>
      </c>
      <c r="AL25" s="256">
        <v>1</v>
      </c>
      <c r="AM25" s="256">
        <f>SUM(AH25:AL25)</f>
        <v>9</v>
      </c>
      <c r="AN25" s="261">
        <f t="shared" si="16"/>
        <v>0.23124357656731759</v>
      </c>
      <c r="AO25" s="256">
        <v>1</v>
      </c>
      <c r="AP25" s="256">
        <v>3</v>
      </c>
      <c r="AQ25" s="256">
        <v>2</v>
      </c>
      <c r="AR25" s="256">
        <v>3</v>
      </c>
      <c r="AS25" s="256">
        <v>0</v>
      </c>
      <c r="AT25" s="256">
        <f t="shared" si="20"/>
        <v>9</v>
      </c>
      <c r="AU25" s="263">
        <v>0</v>
      </c>
      <c r="AV25" s="263">
        <v>0</v>
      </c>
      <c r="AW25" s="263">
        <v>2</v>
      </c>
      <c r="AX25" s="263">
        <v>0</v>
      </c>
      <c r="AY25" s="263">
        <v>1</v>
      </c>
      <c r="AZ25" s="256">
        <f t="shared" si="21"/>
        <v>3</v>
      </c>
      <c r="BA25" s="263">
        <v>14</v>
      </c>
      <c r="BB25" s="263">
        <v>9</v>
      </c>
      <c r="BC25" s="263">
        <v>14</v>
      </c>
      <c r="BD25" s="263">
        <v>11</v>
      </c>
      <c r="BE25" s="263">
        <v>4</v>
      </c>
      <c r="BF25" s="256">
        <f t="shared" si="22"/>
        <v>52</v>
      </c>
      <c r="BG25" s="252"/>
      <c r="BH25" s="265"/>
      <c r="BI25" s="266"/>
      <c r="BJ25" s="254"/>
      <c r="BK25" s="254"/>
    </row>
    <row r="26" spans="1:63" ht="16.2" thickBot="1" x14ac:dyDescent="0.4">
      <c r="A26" s="255" t="s">
        <v>13</v>
      </c>
      <c r="B26" s="256">
        <v>4</v>
      </c>
      <c r="C26" s="256">
        <v>4</v>
      </c>
      <c r="D26" s="256">
        <v>26</v>
      </c>
      <c r="E26" s="256">
        <v>1</v>
      </c>
      <c r="F26" s="258">
        <v>5</v>
      </c>
      <c r="G26" s="259">
        <f t="shared" si="17"/>
        <v>40</v>
      </c>
      <c r="H26" s="260">
        <v>0</v>
      </c>
      <c r="I26" s="256">
        <v>0</v>
      </c>
      <c r="J26" s="256">
        <v>0</v>
      </c>
      <c r="K26" s="256">
        <v>0</v>
      </c>
      <c r="L26" s="256">
        <v>0</v>
      </c>
      <c r="M26" s="256">
        <v>0</v>
      </c>
      <c r="N26" s="256">
        <v>0</v>
      </c>
      <c r="O26" s="256">
        <v>0</v>
      </c>
      <c r="P26" s="256">
        <v>0</v>
      </c>
      <c r="Q26" s="258">
        <v>0</v>
      </c>
      <c r="R26" s="256">
        <f t="shared" si="18"/>
        <v>0</v>
      </c>
      <c r="S26" s="258">
        <f t="shared" si="18"/>
        <v>0</v>
      </c>
      <c r="T26" s="261">
        <f t="shared" si="14"/>
        <v>0</v>
      </c>
      <c r="U26" s="260">
        <v>0</v>
      </c>
      <c r="V26" s="256">
        <v>0</v>
      </c>
      <c r="W26" s="256">
        <v>0</v>
      </c>
      <c r="X26" s="256">
        <v>0</v>
      </c>
      <c r="Y26" s="256">
        <v>0</v>
      </c>
      <c r="Z26" s="256">
        <v>0</v>
      </c>
      <c r="AA26" s="256">
        <v>0</v>
      </c>
      <c r="AB26" s="256">
        <v>0</v>
      </c>
      <c r="AC26" s="256">
        <v>0</v>
      </c>
      <c r="AD26" s="256">
        <v>0</v>
      </c>
      <c r="AE26" s="256">
        <f t="shared" si="19"/>
        <v>0</v>
      </c>
      <c r="AF26" s="256">
        <f t="shared" si="19"/>
        <v>0</v>
      </c>
      <c r="AG26" s="261">
        <f t="shared" si="15"/>
        <v>0</v>
      </c>
      <c r="AH26" s="256">
        <v>0</v>
      </c>
      <c r="AI26" s="256">
        <v>0</v>
      </c>
      <c r="AJ26" s="256">
        <v>0</v>
      </c>
      <c r="AK26" s="256">
        <v>0</v>
      </c>
      <c r="AL26" s="256">
        <v>0</v>
      </c>
      <c r="AM26" s="256">
        <f>SUM(AH26:AL26)</f>
        <v>0</v>
      </c>
      <c r="AN26" s="261">
        <f t="shared" si="16"/>
        <v>0</v>
      </c>
      <c r="AO26" s="256">
        <v>0</v>
      </c>
      <c r="AP26" s="256">
        <v>0</v>
      </c>
      <c r="AQ26" s="256">
        <v>0</v>
      </c>
      <c r="AR26" s="256">
        <v>0</v>
      </c>
      <c r="AS26" s="256">
        <v>0</v>
      </c>
      <c r="AT26" s="256">
        <f t="shared" si="20"/>
        <v>0</v>
      </c>
      <c r="AU26" s="263">
        <v>0</v>
      </c>
      <c r="AV26" s="263">
        <v>0</v>
      </c>
      <c r="AW26" s="263">
        <v>0</v>
      </c>
      <c r="AX26" s="263">
        <v>0</v>
      </c>
      <c r="AY26" s="263">
        <v>0</v>
      </c>
      <c r="AZ26" s="256">
        <f t="shared" si="21"/>
        <v>0</v>
      </c>
      <c r="BA26" s="263">
        <v>0</v>
      </c>
      <c r="BB26" s="263">
        <v>0</v>
      </c>
      <c r="BC26" s="263">
        <v>5</v>
      </c>
      <c r="BD26" s="263">
        <v>0</v>
      </c>
      <c r="BE26" s="263">
        <v>1</v>
      </c>
      <c r="BF26" s="256">
        <f t="shared" si="22"/>
        <v>6</v>
      </c>
      <c r="BG26" s="252"/>
      <c r="BH26" s="265"/>
      <c r="BI26" s="266"/>
      <c r="BJ26" s="254"/>
      <c r="BK26" s="254"/>
    </row>
    <row r="27" spans="1:63" ht="27" thickBot="1" x14ac:dyDescent="0.4">
      <c r="A27" s="268" t="s">
        <v>23</v>
      </c>
      <c r="B27" s="293">
        <v>424</v>
      </c>
      <c r="C27" s="293">
        <v>196</v>
      </c>
      <c r="D27" s="256">
        <v>572</v>
      </c>
      <c r="E27" s="293">
        <v>587</v>
      </c>
      <c r="F27" s="258">
        <v>212</v>
      </c>
      <c r="G27" s="259">
        <f t="shared" si="17"/>
        <v>1991</v>
      </c>
      <c r="H27" s="294">
        <v>0</v>
      </c>
      <c r="I27" s="293">
        <v>1</v>
      </c>
      <c r="J27" s="256">
        <v>0</v>
      </c>
      <c r="K27" s="256">
        <v>9</v>
      </c>
      <c r="L27" s="256">
        <v>0</v>
      </c>
      <c r="M27" s="256">
        <v>0</v>
      </c>
      <c r="N27" s="256">
        <v>0</v>
      </c>
      <c r="O27" s="256">
        <v>0</v>
      </c>
      <c r="P27" s="256">
        <v>0</v>
      </c>
      <c r="Q27" s="258">
        <v>0</v>
      </c>
      <c r="R27" s="256">
        <f t="shared" si="18"/>
        <v>0</v>
      </c>
      <c r="S27" s="258">
        <f t="shared" si="18"/>
        <v>10</v>
      </c>
      <c r="T27" s="261">
        <f t="shared" si="14"/>
        <v>0.50226017076845808</v>
      </c>
      <c r="U27" s="294">
        <v>0</v>
      </c>
      <c r="V27" s="293">
        <v>1</v>
      </c>
      <c r="W27" s="256">
        <v>1</v>
      </c>
      <c r="X27" s="256">
        <v>7</v>
      </c>
      <c r="Y27" s="293">
        <v>0</v>
      </c>
      <c r="Z27" s="293">
        <v>1</v>
      </c>
      <c r="AA27" s="293">
        <v>0</v>
      </c>
      <c r="AB27" s="293">
        <v>0</v>
      </c>
      <c r="AC27" s="256">
        <v>0</v>
      </c>
      <c r="AD27" s="256">
        <v>0</v>
      </c>
      <c r="AE27" s="256">
        <f t="shared" si="19"/>
        <v>1</v>
      </c>
      <c r="AF27" s="256">
        <f t="shared" si="19"/>
        <v>9</v>
      </c>
      <c r="AG27" s="261">
        <f t="shared" si="15"/>
        <v>0.50226017076845808</v>
      </c>
      <c r="AH27" s="293">
        <v>0</v>
      </c>
      <c r="AI27" s="293">
        <v>0</v>
      </c>
      <c r="AJ27" s="293">
        <v>0</v>
      </c>
      <c r="AK27" s="293">
        <v>0</v>
      </c>
      <c r="AL27" s="293">
        <v>0</v>
      </c>
      <c r="AM27" s="256">
        <f>SUM(AH27:AL27)</f>
        <v>0</v>
      </c>
      <c r="AN27" s="261">
        <f t="shared" si="16"/>
        <v>0</v>
      </c>
      <c r="AO27" s="293">
        <v>0</v>
      </c>
      <c r="AP27" s="293">
        <v>2</v>
      </c>
      <c r="AQ27" s="293">
        <v>0</v>
      </c>
      <c r="AR27" s="293">
        <v>0</v>
      </c>
      <c r="AS27" s="293">
        <v>0</v>
      </c>
      <c r="AT27" s="256">
        <f t="shared" si="20"/>
        <v>2</v>
      </c>
      <c r="AU27" s="263">
        <v>1</v>
      </c>
      <c r="AV27" s="263">
        <v>0</v>
      </c>
      <c r="AW27" s="263">
        <v>0</v>
      </c>
      <c r="AX27" s="263">
        <v>0</v>
      </c>
      <c r="AY27" s="263">
        <v>0</v>
      </c>
      <c r="AZ27" s="256">
        <f t="shared" si="21"/>
        <v>1</v>
      </c>
      <c r="BA27" s="263">
        <v>10</v>
      </c>
      <c r="BB27" s="263">
        <v>4</v>
      </c>
      <c r="BC27" s="263">
        <v>6</v>
      </c>
      <c r="BD27" s="263">
        <v>12</v>
      </c>
      <c r="BE27" s="263">
        <v>3</v>
      </c>
      <c r="BF27" s="256">
        <f t="shared" si="22"/>
        <v>35</v>
      </c>
      <c r="BG27" s="252"/>
      <c r="BH27" s="265"/>
      <c r="BI27" s="266"/>
      <c r="BJ27" s="254"/>
      <c r="BK27" s="254"/>
    </row>
    <row r="28" spans="1:63" s="240" customFormat="1" ht="16.2" thickBot="1" x14ac:dyDescent="0.4">
      <c r="A28" s="295" t="s">
        <v>22</v>
      </c>
      <c r="B28" s="274">
        <f t="shared" ref="B28:Q28" si="24">SUM(B17:B27)</f>
        <v>1529</v>
      </c>
      <c r="C28" s="274">
        <f t="shared" si="24"/>
        <v>729</v>
      </c>
      <c r="D28" s="274">
        <f t="shared" si="24"/>
        <v>2382</v>
      </c>
      <c r="E28" s="274">
        <f t="shared" si="24"/>
        <v>2287</v>
      </c>
      <c r="F28" s="275">
        <f t="shared" si="24"/>
        <v>940</v>
      </c>
      <c r="G28" s="272">
        <f t="shared" si="24"/>
        <v>7867</v>
      </c>
      <c r="H28" s="273">
        <f t="shared" si="24"/>
        <v>2</v>
      </c>
      <c r="I28" s="274">
        <f t="shared" si="24"/>
        <v>2</v>
      </c>
      <c r="J28" s="274">
        <f t="shared" si="24"/>
        <v>0</v>
      </c>
      <c r="K28" s="274">
        <f t="shared" si="24"/>
        <v>10</v>
      </c>
      <c r="L28" s="274">
        <f t="shared" si="24"/>
        <v>9</v>
      </c>
      <c r="M28" s="274">
        <f t="shared" si="24"/>
        <v>4</v>
      </c>
      <c r="N28" s="274">
        <f t="shared" si="24"/>
        <v>2</v>
      </c>
      <c r="O28" s="274">
        <f t="shared" si="24"/>
        <v>3</v>
      </c>
      <c r="P28" s="274">
        <f t="shared" si="24"/>
        <v>0</v>
      </c>
      <c r="Q28" s="275">
        <f t="shared" si="24"/>
        <v>1</v>
      </c>
      <c r="R28" s="276">
        <f>SUM(R17:R27)</f>
        <v>13</v>
      </c>
      <c r="S28" s="277">
        <f>SUM(S17:S27)</f>
        <v>20</v>
      </c>
      <c r="T28" s="278">
        <f t="shared" si="14"/>
        <v>0.419473751112241</v>
      </c>
      <c r="U28" s="273">
        <f>SUM(U17:U27)</f>
        <v>0</v>
      </c>
      <c r="V28" s="274">
        <f>SUM(V17:V27)</f>
        <v>6</v>
      </c>
      <c r="W28" s="274">
        <f t="shared" ref="W28:AD28" si="25">SUM(W17:W27)</f>
        <v>2</v>
      </c>
      <c r="X28" s="274">
        <f t="shared" si="25"/>
        <v>7</v>
      </c>
      <c r="Y28" s="274">
        <f t="shared" si="25"/>
        <v>3</v>
      </c>
      <c r="Z28" s="274">
        <f t="shared" si="25"/>
        <v>10</v>
      </c>
      <c r="AA28" s="274">
        <f t="shared" si="25"/>
        <v>4</v>
      </c>
      <c r="AB28" s="274">
        <f t="shared" si="25"/>
        <v>7</v>
      </c>
      <c r="AC28" s="274">
        <f t="shared" si="25"/>
        <v>0</v>
      </c>
      <c r="AD28" s="274">
        <f t="shared" si="25"/>
        <v>0</v>
      </c>
      <c r="AE28" s="276">
        <f>SUM(AE17:AE27)</f>
        <v>9</v>
      </c>
      <c r="AF28" s="276">
        <f>SUM(AF17:AF27)</f>
        <v>30</v>
      </c>
      <c r="AG28" s="278">
        <f t="shared" si="15"/>
        <v>0.49574170585992117</v>
      </c>
      <c r="AH28" s="274">
        <f t="shared" ref="AH28:AM28" si="26">SUM(AH17:AH27)</f>
        <v>9</v>
      </c>
      <c r="AI28" s="274">
        <f t="shared" si="26"/>
        <v>1</v>
      </c>
      <c r="AJ28" s="274">
        <f t="shared" si="26"/>
        <v>4</v>
      </c>
      <c r="AK28" s="274">
        <f t="shared" si="26"/>
        <v>1</v>
      </c>
      <c r="AL28" s="274">
        <f t="shared" si="26"/>
        <v>2</v>
      </c>
      <c r="AM28" s="276">
        <f t="shared" si="26"/>
        <v>17</v>
      </c>
      <c r="AN28" s="278">
        <f t="shared" si="16"/>
        <v>0.21609253845176052</v>
      </c>
      <c r="AO28" s="274">
        <f t="shared" ref="AO28:BF28" si="27">SUM(AO17:AO27)</f>
        <v>3</v>
      </c>
      <c r="AP28" s="274">
        <f t="shared" si="27"/>
        <v>7</v>
      </c>
      <c r="AQ28" s="274">
        <f t="shared" si="27"/>
        <v>2</v>
      </c>
      <c r="AR28" s="274">
        <f t="shared" si="27"/>
        <v>3</v>
      </c>
      <c r="AS28" s="274">
        <f t="shared" si="27"/>
        <v>0</v>
      </c>
      <c r="AT28" s="281">
        <f t="shared" si="27"/>
        <v>15</v>
      </c>
      <c r="AU28" s="274">
        <f t="shared" si="27"/>
        <v>1</v>
      </c>
      <c r="AV28" s="274">
        <f t="shared" si="27"/>
        <v>0</v>
      </c>
      <c r="AW28" s="274">
        <f t="shared" si="27"/>
        <v>2</v>
      </c>
      <c r="AX28" s="274">
        <f t="shared" si="27"/>
        <v>2</v>
      </c>
      <c r="AY28" s="274">
        <f t="shared" si="27"/>
        <v>1</v>
      </c>
      <c r="AZ28" s="281">
        <f t="shared" si="27"/>
        <v>6</v>
      </c>
      <c r="BA28" s="274">
        <f t="shared" si="27"/>
        <v>34</v>
      </c>
      <c r="BB28" s="274">
        <f t="shared" si="27"/>
        <v>18</v>
      </c>
      <c r="BC28" s="274">
        <f t="shared" si="27"/>
        <v>31</v>
      </c>
      <c r="BD28" s="274">
        <f t="shared" si="27"/>
        <v>25</v>
      </c>
      <c r="BE28" s="274">
        <f t="shared" si="27"/>
        <v>8</v>
      </c>
      <c r="BF28" s="281">
        <f t="shared" si="27"/>
        <v>116</v>
      </c>
      <c r="BG28" s="252"/>
      <c r="BH28" s="265"/>
      <c r="BI28" s="266"/>
      <c r="BJ28" s="252"/>
      <c r="BK28" s="252"/>
    </row>
    <row r="29" spans="1:63" ht="16.2" thickBot="1" x14ac:dyDescent="0.4">
      <c r="A29" s="282" t="s">
        <v>171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5">
        <f>R28/$G$28*100</f>
        <v>0.1652472352866404</v>
      </c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78">
        <f>AE28/$G$28*100</f>
        <v>0.11440193212152026</v>
      </c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6"/>
      <c r="AU29" s="286"/>
      <c r="AV29" s="286"/>
      <c r="AW29" s="286"/>
      <c r="AX29" s="286"/>
      <c r="AY29" s="286"/>
      <c r="AZ29" s="204"/>
      <c r="BA29" s="286"/>
      <c r="BB29" s="286"/>
      <c r="BC29" s="286"/>
      <c r="BD29" s="286"/>
      <c r="BE29" s="286"/>
      <c r="BF29" s="286"/>
      <c r="BG29" s="252"/>
      <c r="BH29" s="265"/>
      <c r="BI29" s="266"/>
      <c r="BJ29" s="254"/>
      <c r="BK29" s="254"/>
    </row>
    <row r="30" spans="1:63" ht="15.6" x14ac:dyDescent="0.35">
      <c r="A30" s="248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6"/>
      <c r="AU30" s="286"/>
      <c r="AV30" s="286"/>
      <c r="AW30" s="286"/>
      <c r="AX30" s="286"/>
      <c r="AY30" s="286"/>
      <c r="AZ30" s="204"/>
      <c r="BA30" s="286"/>
      <c r="BB30" s="286"/>
      <c r="BC30" s="286"/>
      <c r="BD30" s="286"/>
      <c r="BE30" s="286"/>
      <c r="BF30" s="286"/>
      <c r="BG30" s="252"/>
      <c r="BH30" s="265"/>
      <c r="BI30" s="266"/>
      <c r="BJ30" s="254"/>
      <c r="BK30" s="254"/>
    </row>
    <row r="31" spans="1:63" ht="16.2" thickBot="1" x14ac:dyDescent="0.4">
      <c r="A31" s="247" t="s">
        <v>50</v>
      </c>
      <c r="B31" s="291"/>
      <c r="C31" s="291"/>
      <c r="D31" s="291"/>
      <c r="E31" s="291"/>
      <c r="F31" s="291"/>
      <c r="G31" s="284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86"/>
      <c r="AU31" s="286"/>
      <c r="AV31" s="286"/>
      <c r="AW31" s="286"/>
      <c r="AX31" s="286"/>
      <c r="AY31" s="286"/>
      <c r="AZ31" s="204"/>
      <c r="BA31" s="286"/>
      <c r="BB31" s="286"/>
      <c r="BC31" s="286"/>
      <c r="BD31" s="286"/>
      <c r="BE31" s="286"/>
      <c r="BF31" s="286"/>
      <c r="BG31" s="252"/>
      <c r="BH31" s="265"/>
      <c r="BI31" s="266"/>
      <c r="BJ31" s="254"/>
      <c r="BK31" s="254"/>
    </row>
    <row r="32" spans="1:63" ht="16.2" thickBot="1" x14ac:dyDescent="0.4">
      <c r="A32" s="296" t="s">
        <v>133</v>
      </c>
      <c r="B32" s="256">
        <v>448</v>
      </c>
      <c r="C32" s="256">
        <v>218</v>
      </c>
      <c r="D32" s="256">
        <v>655</v>
      </c>
      <c r="E32" s="256">
        <v>435</v>
      </c>
      <c r="F32" s="258">
        <v>258</v>
      </c>
      <c r="G32" s="259">
        <f>SUM(B32:F32)</f>
        <v>2014</v>
      </c>
      <c r="H32" s="260">
        <v>2</v>
      </c>
      <c r="I32" s="256">
        <v>2</v>
      </c>
      <c r="J32" s="256">
        <v>0</v>
      </c>
      <c r="K32" s="256">
        <v>1</v>
      </c>
      <c r="L32" s="256">
        <v>2</v>
      </c>
      <c r="M32" s="256">
        <v>0</v>
      </c>
      <c r="N32" s="256">
        <v>3</v>
      </c>
      <c r="O32" s="256">
        <v>0</v>
      </c>
      <c r="P32" s="256">
        <v>1</v>
      </c>
      <c r="Q32" s="256">
        <v>0</v>
      </c>
      <c r="R32" s="256">
        <f>H32+J32+L32+N32+P32</f>
        <v>8</v>
      </c>
      <c r="S32" s="256">
        <f>I32+K32+M32+O32+Q32</f>
        <v>3</v>
      </c>
      <c r="T32" s="261">
        <f t="shared" ref="T32:T50" si="28">(R32+S32)*100/G32</f>
        <v>0.54617676266137039</v>
      </c>
      <c r="U32" s="256">
        <v>0</v>
      </c>
      <c r="V32" s="256">
        <v>0</v>
      </c>
      <c r="W32" s="256">
        <v>0</v>
      </c>
      <c r="X32" s="256">
        <v>1</v>
      </c>
      <c r="Y32" s="256">
        <v>3</v>
      </c>
      <c r="Z32" s="256">
        <v>5</v>
      </c>
      <c r="AA32" s="256">
        <v>1</v>
      </c>
      <c r="AB32" s="256">
        <v>1</v>
      </c>
      <c r="AC32" s="256">
        <v>1</v>
      </c>
      <c r="AD32" s="256">
        <v>1</v>
      </c>
      <c r="AE32" s="256">
        <f t="shared" ref="AE32:AF47" si="29">U32+W32+Y32+AA32+AC32</f>
        <v>5</v>
      </c>
      <c r="AF32" s="256">
        <f t="shared" si="29"/>
        <v>8</v>
      </c>
      <c r="AG32" s="261">
        <f t="shared" ref="AG32:AG50" si="30">(AE32+AF32)*100/G32</f>
        <v>0.6454816285998014</v>
      </c>
      <c r="AH32" s="256">
        <v>0</v>
      </c>
      <c r="AI32" s="256">
        <v>1</v>
      </c>
      <c r="AJ32" s="256">
        <v>3</v>
      </c>
      <c r="AK32" s="256">
        <v>0</v>
      </c>
      <c r="AL32" s="256">
        <v>0</v>
      </c>
      <c r="AM32" s="256">
        <f t="shared" ref="AM32:AM49" si="31">SUM(AH32:AL32)</f>
        <v>4</v>
      </c>
      <c r="AN32" s="261">
        <f t="shared" ref="AN32:AN50" si="32">AM32*100/G32</f>
        <v>0.19860973187686196</v>
      </c>
      <c r="AO32" s="256">
        <v>2</v>
      </c>
      <c r="AP32" s="256">
        <v>0</v>
      </c>
      <c r="AQ32" s="256">
        <v>0</v>
      </c>
      <c r="AR32" s="256">
        <v>0</v>
      </c>
      <c r="AS32" s="256">
        <v>0</v>
      </c>
      <c r="AT32" s="256">
        <f>SUM(AO32:AS32)</f>
        <v>2</v>
      </c>
      <c r="AU32" s="263">
        <v>0</v>
      </c>
      <c r="AV32" s="263">
        <v>0</v>
      </c>
      <c r="AW32" s="263">
        <v>0</v>
      </c>
      <c r="AX32" s="263">
        <v>0</v>
      </c>
      <c r="AY32" s="263">
        <v>0</v>
      </c>
      <c r="AZ32" s="256">
        <f>SUM(AU32:AY32)</f>
        <v>0</v>
      </c>
      <c r="BA32" s="263">
        <v>0</v>
      </c>
      <c r="BB32" s="263">
        <v>1</v>
      </c>
      <c r="BC32" s="263">
        <v>4</v>
      </c>
      <c r="BD32" s="263">
        <v>1</v>
      </c>
      <c r="BE32" s="263">
        <v>0</v>
      </c>
      <c r="BF32" s="256">
        <f>SUM(BA32:BE32)</f>
        <v>6</v>
      </c>
      <c r="BG32" s="252"/>
      <c r="BH32" s="265"/>
      <c r="BI32" s="266"/>
      <c r="BJ32" s="254"/>
      <c r="BK32" s="254"/>
    </row>
    <row r="33" spans="1:63" ht="16.2" thickBot="1" x14ac:dyDescent="0.4">
      <c r="A33" s="296" t="s">
        <v>151</v>
      </c>
      <c r="B33" s="256">
        <v>3939</v>
      </c>
      <c r="C33" s="256">
        <v>2769</v>
      </c>
      <c r="D33" s="256">
        <v>5789</v>
      </c>
      <c r="E33" s="256">
        <v>6360</v>
      </c>
      <c r="F33" s="258">
        <v>3564</v>
      </c>
      <c r="G33" s="259">
        <f t="shared" ref="G33:G49" si="33">SUM(B33:F33)</f>
        <v>22421</v>
      </c>
      <c r="H33" s="260">
        <v>2</v>
      </c>
      <c r="I33" s="256">
        <v>4</v>
      </c>
      <c r="J33" s="256">
        <v>3</v>
      </c>
      <c r="K33" s="256">
        <v>5</v>
      </c>
      <c r="L33" s="256">
        <v>3</v>
      </c>
      <c r="M33" s="256">
        <v>18</v>
      </c>
      <c r="N33" s="256">
        <v>2</v>
      </c>
      <c r="O33" s="256">
        <v>3</v>
      </c>
      <c r="P33" s="256">
        <v>0</v>
      </c>
      <c r="Q33" s="256">
        <v>4</v>
      </c>
      <c r="R33" s="256">
        <f t="shared" ref="R33:S49" si="34">H33+J33+L33+N33+P33</f>
        <v>10</v>
      </c>
      <c r="S33" s="256">
        <f t="shared" si="34"/>
        <v>34</v>
      </c>
      <c r="T33" s="261">
        <f t="shared" si="28"/>
        <v>0.19624459212345569</v>
      </c>
      <c r="U33" s="256">
        <v>0</v>
      </c>
      <c r="V33" s="256">
        <v>6</v>
      </c>
      <c r="W33" s="256">
        <v>1</v>
      </c>
      <c r="X33" s="256">
        <v>1</v>
      </c>
      <c r="Y33" s="256">
        <v>4</v>
      </c>
      <c r="Z33" s="256">
        <v>5</v>
      </c>
      <c r="AA33" s="256">
        <v>1</v>
      </c>
      <c r="AB33" s="256">
        <v>10</v>
      </c>
      <c r="AC33" s="256">
        <v>1</v>
      </c>
      <c r="AD33" s="256">
        <v>0</v>
      </c>
      <c r="AE33" s="256">
        <f t="shared" si="29"/>
        <v>7</v>
      </c>
      <c r="AF33" s="256">
        <f t="shared" si="29"/>
        <v>22</v>
      </c>
      <c r="AG33" s="261">
        <f t="shared" si="30"/>
        <v>0.12934302662682307</v>
      </c>
      <c r="AH33" s="256">
        <v>9</v>
      </c>
      <c r="AI33" s="256">
        <v>1</v>
      </c>
      <c r="AJ33" s="256">
        <v>5</v>
      </c>
      <c r="AK33" s="256">
        <v>1</v>
      </c>
      <c r="AL33" s="256">
        <v>0</v>
      </c>
      <c r="AM33" s="256">
        <f t="shared" si="31"/>
        <v>16</v>
      </c>
      <c r="AN33" s="261">
        <f t="shared" si="32"/>
        <v>7.1361669863074795E-2</v>
      </c>
      <c r="AO33" s="256">
        <v>4</v>
      </c>
      <c r="AP33" s="256">
        <v>2</v>
      </c>
      <c r="AQ33" s="256">
        <v>1</v>
      </c>
      <c r="AR33" s="256">
        <v>0</v>
      </c>
      <c r="AS33" s="256">
        <v>0</v>
      </c>
      <c r="AT33" s="256">
        <f t="shared" ref="AT33:AT42" si="35">SUM(AO33:AS33)</f>
        <v>7</v>
      </c>
      <c r="AU33" s="263">
        <v>0</v>
      </c>
      <c r="AV33" s="263">
        <v>0</v>
      </c>
      <c r="AW33" s="263">
        <v>0</v>
      </c>
      <c r="AX33" s="263">
        <v>0</v>
      </c>
      <c r="AY33" s="263">
        <v>0</v>
      </c>
      <c r="AZ33" s="256">
        <f t="shared" ref="AZ33:AZ46" si="36">SUM(AU33:AY33)</f>
        <v>0</v>
      </c>
      <c r="BA33" s="263">
        <v>14</v>
      </c>
      <c r="BB33" s="263">
        <v>8</v>
      </c>
      <c r="BC33" s="263">
        <v>41</v>
      </c>
      <c r="BD33" s="263">
        <v>16</v>
      </c>
      <c r="BE33" s="263">
        <v>20</v>
      </c>
      <c r="BF33" s="256">
        <f t="shared" ref="BF33:BF49" si="37">SUM(BA33:BE33)</f>
        <v>99</v>
      </c>
      <c r="BG33" s="252"/>
      <c r="BH33" s="265"/>
      <c r="BI33" s="266"/>
      <c r="BJ33" s="254"/>
      <c r="BK33" s="254"/>
    </row>
    <row r="34" spans="1:63" ht="31.8" thickBot="1" x14ac:dyDescent="0.4">
      <c r="A34" s="297" t="s">
        <v>134</v>
      </c>
      <c r="B34" s="256">
        <v>1150</v>
      </c>
      <c r="C34" s="256">
        <v>795</v>
      </c>
      <c r="D34" s="256">
        <v>1658</v>
      </c>
      <c r="E34" s="256">
        <v>1714</v>
      </c>
      <c r="F34" s="258">
        <v>899</v>
      </c>
      <c r="G34" s="259">
        <f t="shared" si="33"/>
        <v>6216</v>
      </c>
      <c r="H34" s="260">
        <v>6</v>
      </c>
      <c r="I34" s="256">
        <v>4</v>
      </c>
      <c r="J34" s="256">
        <v>2</v>
      </c>
      <c r="K34" s="256">
        <v>4</v>
      </c>
      <c r="L34" s="256">
        <v>7</v>
      </c>
      <c r="M34" s="256">
        <v>11</v>
      </c>
      <c r="N34" s="256">
        <v>4</v>
      </c>
      <c r="O34" s="256">
        <v>7</v>
      </c>
      <c r="P34" s="256">
        <v>3</v>
      </c>
      <c r="Q34" s="256">
        <v>4</v>
      </c>
      <c r="R34" s="256">
        <f t="shared" si="34"/>
        <v>22</v>
      </c>
      <c r="S34" s="256">
        <f t="shared" si="34"/>
        <v>30</v>
      </c>
      <c r="T34" s="261">
        <f t="shared" si="28"/>
        <v>0.83655083655083651</v>
      </c>
      <c r="U34" s="256">
        <v>2</v>
      </c>
      <c r="V34" s="256">
        <v>4</v>
      </c>
      <c r="W34" s="256">
        <v>2</v>
      </c>
      <c r="X34" s="256">
        <v>4</v>
      </c>
      <c r="Y34" s="256">
        <v>10</v>
      </c>
      <c r="Z34" s="256">
        <v>4</v>
      </c>
      <c r="AA34" s="256">
        <v>6</v>
      </c>
      <c r="AB34" s="256">
        <v>5</v>
      </c>
      <c r="AC34" s="256">
        <v>2</v>
      </c>
      <c r="AD34" s="256">
        <v>0</v>
      </c>
      <c r="AE34" s="256">
        <f t="shared" si="29"/>
        <v>22</v>
      </c>
      <c r="AF34" s="256">
        <f t="shared" si="29"/>
        <v>17</v>
      </c>
      <c r="AG34" s="261">
        <f t="shared" si="30"/>
        <v>0.62741312741312738</v>
      </c>
      <c r="AH34" s="256">
        <v>8</v>
      </c>
      <c r="AI34" s="256">
        <v>1</v>
      </c>
      <c r="AJ34" s="256">
        <v>10</v>
      </c>
      <c r="AK34" s="256">
        <v>1</v>
      </c>
      <c r="AL34" s="256">
        <v>0</v>
      </c>
      <c r="AM34" s="256">
        <f t="shared" si="31"/>
        <v>20</v>
      </c>
      <c r="AN34" s="261">
        <f t="shared" si="32"/>
        <v>0.32175032175032175</v>
      </c>
      <c r="AO34" s="256">
        <v>5</v>
      </c>
      <c r="AP34" s="256">
        <v>1</v>
      </c>
      <c r="AQ34" s="256">
        <v>3</v>
      </c>
      <c r="AR34" s="256">
        <v>2</v>
      </c>
      <c r="AS34" s="256">
        <v>2</v>
      </c>
      <c r="AT34" s="256">
        <f t="shared" si="35"/>
        <v>13</v>
      </c>
      <c r="AU34" s="263">
        <v>1</v>
      </c>
      <c r="AV34" s="263">
        <v>0</v>
      </c>
      <c r="AW34" s="263">
        <v>1</v>
      </c>
      <c r="AX34" s="263">
        <v>0</v>
      </c>
      <c r="AY34" s="263">
        <v>0</v>
      </c>
      <c r="AZ34" s="256">
        <f t="shared" si="36"/>
        <v>2</v>
      </c>
      <c r="BA34" s="263">
        <v>15</v>
      </c>
      <c r="BB34" s="263">
        <v>10</v>
      </c>
      <c r="BC34" s="263">
        <v>29</v>
      </c>
      <c r="BD34" s="263">
        <v>17</v>
      </c>
      <c r="BE34" s="263">
        <v>6</v>
      </c>
      <c r="BF34" s="256">
        <f t="shared" si="37"/>
        <v>77</v>
      </c>
      <c r="BG34" s="252"/>
      <c r="BH34" s="265"/>
      <c r="BI34" s="266"/>
      <c r="BJ34" s="254"/>
      <c r="BK34" s="254"/>
    </row>
    <row r="35" spans="1:63" ht="16.2" thickBot="1" x14ac:dyDescent="0.4">
      <c r="A35" s="296" t="s">
        <v>135</v>
      </c>
      <c r="B35" s="256">
        <v>2468</v>
      </c>
      <c r="C35" s="256">
        <v>2039</v>
      </c>
      <c r="D35" s="256">
        <v>3331</v>
      </c>
      <c r="E35" s="256">
        <v>3994</v>
      </c>
      <c r="F35" s="258">
        <v>1870</v>
      </c>
      <c r="G35" s="259">
        <f t="shared" si="33"/>
        <v>13702</v>
      </c>
      <c r="H35" s="260">
        <v>1</v>
      </c>
      <c r="I35" s="256">
        <v>4</v>
      </c>
      <c r="J35" s="256">
        <v>0</v>
      </c>
      <c r="K35" s="256">
        <v>1</v>
      </c>
      <c r="L35" s="256">
        <v>2</v>
      </c>
      <c r="M35" s="256">
        <v>5</v>
      </c>
      <c r="N35" s="256">
        <v>4</v>
      </c>
      <c r="O35" s="256">
        <v>7</v>
      </c>
      <c r="P35" s="256">
        <v>2</v>
      </c>
      <c r="Q35" s="256">
        <v>3</v>
      </c>
      <c r="R35" s="256">
        <f t="shared" si="34"/>
        <v>9</v>
      </c>
      <c r="S35" s="256">
        <f t="shared" si="34"/>
        <v>20</v>
      </c>
      <c r="T35" s="261">
        <f t="shared" si="28"/>
        <v>0.21164793460808642</v>
      </c>
      <c r="U35" s="256">
        <v>0</v>
      </c>
      <c r="V35" s="256">
        <v>4</v>
      </c>
      <c r="W35" s="256">
        <v>0</v>
      </c>
      <c r="X35" s="256">
        <v>0</v>
      </c>
      <c r="Y35" s="256">
        <v>1</v>
      </c>
      <c r="Z35" s="256">
        <v>3</v>
      </c>
      <c r="AA35" s="256">
        <v>2</v>
      </c>
      <c r="AB35" s="256">
        <v>4</v>
      </c>
      <c r="AC35" s="256">
        <v>0</v>
      </c>
      <c r="AD35" s="256">
        <v>1</v>
      </c>
      <c r="AE35" s="256">
        <f t="shared" si="29"/>
        <v>3</v>
      </c>
      <c r="AF35" s="256">
        <f t="shared" si="29"/>
        <v>12</v>
      </c>
      <c r="AG35" s="261">
        <f t="shared" si="30"/>
        <v>0.10947306962487229</v>
      </c>
      <c r="AH35" s="256">
        <v>0</v>
      </c>
      <c r="AI35" s="256">
        <v>0</v>
      </c>
      <c r="AJ35" s="256">
        <v>7</v>
      </c>
      <c r="AK35" s="256">
        <v>0</v>
      </c>
      <c r="AL35" s="256">
        <v>0</v>
      </c>
      <c r="AM35" s="256">
        <f t="shared" si="31"/>
        <v>7</v>
      </c>
      <c r="AN35" s="261">
        <f t="shared" si="32"/>
        <v>5.1087432491607063E-2</v>
      </c>
      <c r="AO35" s="256">
        <v>0</v>
      </c>
      <c r="AP35" s="256">
        <v>0</v>
      </c>
      <c r="AQ35" s="256">
        <v>1</v>
      </c>
      <c r="AR35" s="256">
        <v>1</v>
      </c>
      <c r="AS35" s="256">
        <v>0</v>
      </c>
      <c r="AT35" s="256">
        <f t="shared" si="35"/>
        <v>2</v>
      </c>
      <c r="AU35" s="263">
        <v>0</v>
      </c>
      <c r="AV35" s="263">
        <v>0</v>
      </c>
      <c r="AW35" s="263">
        <v>0</v>
      </c>
      <c r="AX35" s="263">
        <v>0</v>
      </c>
      <c r="AY35" s="263">
        <v>1</v>
      </c>
      <c r="AZ35" s="256">
        <f t="shared" si="36"/>
        <v>1</v>
      </c>
      <c r="BA35" s="263">
        <v>9</v>
      </c>
      <c r="BB35" s="263">
        <v>7</v>
      </c>
      <c r="BC35" s="263">
        <v>20</v>
      </c>
      <c r="BD35" s="263">
        <v>15</v>
      </c>
      <c r="BE35" s="263">
        <v>18</v>
      </c>
      <c r="BF35" s="256">
        <f t="shared" si="37"/>
        <v>69</v>
      </c>
      <c r="BG35" s="252"/>
      <c r="BH35" s="265"/>
      <c r="BI35" s="266"/>
      <c r="BJ35" s="254"/>
      <c r="BK35" s="254"/>
    </row>
    <row r="36" spans="1:63" ht="16.2" thickBot="1" x14ac:dyDescent="0.4">
      <c r="A36" s="296" t="s">
        <v>136</v>
      </c>
      <c r="B36" s="256">
        <v>1007</v>
      </c>
      <c r="C36" s="256">
        <v>548</v>
      </c>
      <c r="D36" s="256">
        <v>1541</v>
      </c>
      <c r="E36" s="256">
        <v>1349</v>
      </c>
      <c r="F36" s="258">
        <v>729</v>
      </c>
      <c r="G36" s="259">
        <f t="shared" si="33"/>
        <v>5174</v>
      </c>
      <c r="H36" s="260">
        <v>0</v>
      </c>
      <c r="I36" s="256">
        <v>7</v>
      </c>
      <c r="J36" s="256">
        <v>1</v>
      </c>
      <c r="K36" s="256">
        <v>2</v>
      </c>
      <c r="L36" s="256">
        <v>6</v>
      </c>
      <c r="M36" s="256">
        <v>10</v>
      </c>
      <c r="N36" s="256">
        <v>1</v>
      </c>
      <c r="O36" s="256">
        <v>2</v>
      </c>
      <c r="P36" s="256">
        <v>2</v>
      </c>
      <c r="Q36" s="256">
        <v>0</v>
      </c>
      <c r="R36" s="256">
        <f t="shared" si="34"/>
        <v>10</v>
      </c>
      <c r="S36" s="256">
        <f t="shared" si="34"/>
        <v>21</v>
      </c>
      <c r="T36" s="261">
        <f t="shared" si="28"/>
        <v>0.59914959412446844</v>
      </c>
      <c r="U36" s="256">
        <v>0</v>
      </c>
      <c r="V36" s="256">
        <v>9</v>
      </c>
      <c r="W36" s="256">
        <v>0</v>
      </c>
      <c r="X36" s="256">
        <v>3</v>
      </c>
      <c r="Y36" s="256">
        <v>5</v>
      </c>
      <c r="Z36" s="256">
        <v>6</v>
      </c>
      <c r="AA36" s="256">
        <v>1</v>
      </c>
      <c r="AB36" s="256">
        <v>3</v>
      </c>
      <c r="AC36" s="256">
        <v>1</v>
      </c>
      <c r="AD36" s="256">
        <v>0</v>
      </c>
      <c r="AE36" s="256">
        <f t="shared" si="29"/>
        <v>7</v>
      </c>
      <c r="AF36" s="256">
        <f t="shared" si="29"/>
        <v>21</v>
      </c>
      <c r="AG36" s="261">
        <f t="shared" si="30"/>
        <v>0.54116737533822956</v>
      </c>
      <c r="AH36" s="256">
        <v>15</v>
      </c>
      <c r="AI36" s="256">
        <v>1</v>
      </c>
      <c r="AJ36" s="256">
        <v>11</v>
      </c>
      <c r="AK36" s="256">
        <v>0</v>
      </c>
      <c r="AL36" s="256">
        <v>2</v>
      </c>
      <c r="AM36" s="256">
        <f t="shared" si="31"/>
        <v>29</v>
      </c>
      <c r="AN36" s="261">
        <f t="shared" si="32"/>
        <v>0.56049478160030919</v>
      </c>
      <c r="AO36" s="256">
        <v>3</v>
      </c>
      <c r="AP36" s="256">
        <v>1</v>
      </c>
      <c r="AQ36" s="256">
        <v>1</v>
      </c>
      <c r="AR36" s="256">
        <v>1</v>
      </c>
      <c r="AS36" s="256">
        <v>0</v>
      </c>
      <c r="AT36" s="256">
        <f t="shared" si="35"/>
        <v>6</v>
      </c>
      <c r="AU36" s="263">
        <v>0</v>
      </c>
      <c r="AV36" s="263">
        <v>0</v>
      </c>
      <c r="AW36" s="263">
        <v>0</v>
      </c>
      <c r="AX36" s="263">
        <v>1</v>
      </c>
      <c r="AY36" s="263">
        <v>0</v>
      </c>
      <c r="AZ36" s="256">
        <f t="shared" si="36"/>
        <v>1</v>
      </c>
      <c r="BA36" s="263">
        <v>28</v>
      </c>
      <c r="BB36" s="263">
        <v>8</v>
      </c>
      <c r="BC36" s="263">
        <v>31</v>
      </c>
      <c r="BD36" s="263">
        <v>20</v>
      </c>
      <c r="BE36" s="263">
        <v>7</v>
      </c>
      <c r="BF36" s="256">
        <f t="shared" si="37"/>
        <v>94</v>
      </c>
      <c r="BG36" s="252"/>
      <c r="BH36" s="265"/>
      <c r="BI36" s="266"/>
      <c r="BJ36" s="254"/>
      <c r="BK36" s="254"/>
    </row>
    <row r="37" spans="1:63" ht="16.2" thickBot="1" x14ac:dyDescent="0.4">
      <c r="A37" s="296" t="s">
        <v>34</v>
      </c>
      <c r="B37" s="256">
        <v>782</v>
      </c>
      <c r="C37" s="256">
        <v>622</v>
      </c>
      <c r="D37" s="256">
        <v>824</v>
      </c>
      <c r="E37" s="256">
        <v>776</v>
      </c>
      <c r="F37" s="258">
        <v>937</v>
      </c>
      <c r="G37" s="259">
        <f t="shared" si="33"/>
        <v>3941</v>
      </c>
      <c r="H37" s="260">
        <v>0</v>
      </c>
      <c r="I37" s="256">
        <v>1</v>
      </c>
      <c r="J37" s="256">
        <v>0</v>
      </c>
      <c r="K37" s="256">
        <v>0</v>
      </c>
      <c r="L37" s="256">
        <v>0</v>
      </c>
      <c r="M37" s="256">
        <v>2</v>
      </c>
      <c r="N37" s="256">
        <v>0</v>
      </c>
      <c r="O37" s="256">
        <v>0</v>
      </c>
      <c r="P37" s="256">
        <v>0</v>
      </c>
      <c r="Q37" s="256">
        <v>1</v>
      </c>
      <c r="R37" s="256">
        <f t="shared" si="34"/>
        <v>0</v>
      </c>
      <c r="S37" s="256">
        <f t="shared" si="34"/>
        <v>4</v>
      </c>
      <c r="T37" s="261">
        <f t="shared" si="28"/>
        <v>0.10149708195889368</v>
      </c>
      <c r="U37" s="256">
        <v>2</v>
      </c>
      <c r="V37" s="256">
        <v>0</v>
      </c>
      <c r="W37" s="256">
        <v>0</v>
      </c>
      <c r="X37" s="256">
        <v>1</v>
      </c>
      <c r="Y37" s="256">
        <v>4</v>
      </c>
      <c r="Z37" s="256">
        <v>4</v>
      </c>
      <c r="AA37" s="256">
        <v>1</v>
      </c>
      <c r="AB37" s="256">
        <v>1</v>
      </c>
      <c r="AC37" s="256">
        <v>0</v>
      </c>
      <c r="AD37" s="256">
        <v>0</v>
      </c>
      <c r="AE37" s="256">
        <f t="shared" si="29"/>
        <v>7</v>
      </c>
      <c r="AF37" s="256">
        <f t="shared" si="29"/>
        <v>6</v>
      </c>
      <c r="AG37" s="261">
        <f t="shared" si="30"/>
        <v>0.32986551636640449</v>
      </c>
      <c r="AH37" s="256">
        <v>0</v>
      </c>
      <c r="AI37" s="256">
        <v>0</v>
      </c>
      <c r="AJ37" s="256">
        <v>3</v>
      </c>
      <c r="AK37" s="256">
        <v>1</v>
      </c>
      <c r="AL37" s="256">
        <v>0</v>
      </c>
      <c r="AM37" s="256">
        <f t="shared" si="31"/>
        <v>4</v>
      </c>
      <c r="AN37" s="261">
        <f t="shared" si="32"/>
        <v>0.10149708195889368</v>
      </c>
      <c r="AO37" s="256">
        <v>1</v>
      </c>
      <c r="AP37" s="256">
        <v>0</v>
      </c>
      <c r="AQ37" s="256">
        <v>0</v>
      </c>
      <c r="AR37" s="256">
        <v>0</v>
      </c>
      <c r="AS37" s="256">
        <v>0</v>
      </c>
      <c r="AT37" s="256">
        <f t="shared" si="35"/>
        <v>1</v>
      </c>
      <c r="AU37" s="263">
        <v>0</v>
      </c>
      <c r="AV37" s="263">
        <v>0</v>
      </c>
      <c r="AW37" s="263">
        <v>0</v>
      </c>
      <c r="AX37" s="263">
        <v>0</v>
      </c>
      <c r="AY37" s="263">
        <v>0</v>
      </c>
      <c r="AZ37" s="256">
        <f t="shared" si="36"/>
        <v>0</v>
      </c>
      <c r="BA37" s="263">
        <v>5</v>
      </c>
      <c r="BB37" s="263">
        <v>1</v>
      </c>
      <c r="BC37" s="263">
        <v>9</v>
      </c>
      <c r="BD37" s="263">
        <v>2</v>
      </c>
      <c r="BE37" s="263">
        <v>3</v>
      </c>
      <c r="BF37" s="256">
        <f t="shared" si="37"/>
        <v>20</v>
      </c>
      <c r="BG37" s="252"/>
      <c r="BH37" s="265"/>
      <c r="BI37" s="266"/>
      <c r="BJ37" s="254"/>
      <c r="BK37" s="254"/>
    </row>
    <row r="38" spans="1:63" ht="16.2" thickBot="1" x14ac:dyDescent="0.4">
      <c r="A38" s="296" t="s">
        <v>137</v>
      </c>
      <c r="B38" s="256">
        <v>644</v>
      </c>
      <c r="C38" s="256">
        <v>481</v>
      </c>
      <c r="D38" s="256">
        <v>1086</v>
      </c>
      <c r="E38" s="256">
        <v>880</v>
      </c>
      <c r="F38" s="258">
        <v>606</v>
      </c>
      <c r="G38" s="259">
        <f t="shared" si="33"/>
        <v>3697</v>
      </c>
      <c r="H38" s="260">
        <v>0</v>
      </c>
      <c r="I38" s="256">
        <v>1</v>
      </c>
      <c r="J38" s="256">
        <v>0</v>
      </c>
      <c r="K38" s="256">
        <v>3</v>
      </c>
      <c r="L38" s="256">
        <v>2</v>
      </c>
      <c r="M38" s="256">
        <v>2</v>
      </c>
      <c r="N38" s="256">
        <v>1</v>
      </c>
      <c r="O38" s="256">
        <v>0</v>
      </c>
      <c r="P38" s="256">
        <v>0</v>
      </c>
      <c r="Q38" s="256">
        <v>0</v>
      </c>
      <c r="R38" s="256">
        <f t="shared" si="34"/>
        <v>3</v>
      </c>
      <c r="S38" s="256">
        <f t="shared" si="34"/>
        <v>6</v>
      </c>
      <c r="T38" s="261">
        <f t="shared" si="28"/>
        <v>0.24344062753583987</v>
      </c>
      <c r="U38" s="256">
        <v>1</v>
      </c>
      <c r="V38" s="256">
        <v>1</v>
      </c>
      <c r="W38" s="256">
        <v>1</v>
      </c>
      <c r="X38" s="256">
        <v>3</v>
      </c>
      <c r="Y38" s="256">
        <v>1</v>
      </c>
      <c r="Z38" s="256">
        <v>0</v>
      </c>
      <c r="AA38" s="256">
        <v>0</v>
      </c>
      <c r="AB38" s="256">
        <v>3</v>
      </c>
      <c r="AC38" s="256">
        <v>0</v>
      </c>
      <c r="AD38" s="256">
        <v>0</v>
      </c>
      <c r="AE38" s="256">
        <f t="shared" si="29"/>
        <v>3</v>
      </c>
      <c r="AF38" s="256">
        <f t="shared" si="29"/>
        <v>7</v>
      </c>
      <c r="AG38" s="261">
        <f t="shared" si="30"/>
        <v>0.27048958615093321</v>
      </c>
      <c r="AH38" s="256">
        <v>2</v>
      </c>
      <c r="AI38" s="256">
        <v>0</v>
      </c>
      <c r="AJ38" s="256">
        <v>2</v>
      </c>
      <c r="AK38" s="256">
        <v>0</v>
      </c>
      <c r="AL38" s="256">
        <v>0</v>
      </c>
      <c r="AM38" s="256">
        <f t="shared" si="31"/>
        <v>4</v>
      </c>
      <c r="AN38" s="261">
        <f t="shared" si="32"/>
        <v>0.10819583446037327</v>
      </c>
      <c r="AO38" s="256">
        <v>0</v>
      </c>
      <c r="AP38" s="256">
        <v>0</v>
      </c>
      <c r="AQ38" s="256">
        <v>0</v>
      </c>
      <c r="AR38" s="256">
        <v>0</v>
      </c>
      <c r="AS38" s="256">
        <v>0</v>
      </c>
      <c r="AT38" s="256">
        <f t="shared" si="35"/>
        <v>0</v>
      </c>
      <c r="AU38" s="263">
        <v>0</v>
      </c>
      <c r="AV38" s="263">
        <v>0</v>
      </c>
      <c r="AW38" s="263">
        <v>1</v>
      </c>
      <c r="AX38" s="263">
        <v>0</v>
      </c>
      <c r="AY38" s="263">
        <v>0</v>
      </c>
      <c r="AZ38" s="256">
        <f t="shared" si="36"/>
        <v>1</v>
      </c>
      <c r="BA38" s="263">
        <v>2</v>
      </c>
      <c r="BB38" s="263">
        <v>3</v>
      </c>
      <c r="BC38" s="263">
        <v>4</v>
      </c>
      <c r="BD38" s="263">
        <v>4</v>
      </c>
      <c r="BE38" s="263">
        <v>4</v>
      </c>
      <c r="BF38" s="256">
        <f t="shared" si="37"/>
        <v>17</v>
      </c>
      <c r="BG38" s="252"/>
      <c r="BH38" s="265"/>
      <c r="BI38" s="266"/>
      <c r="BJ38" s="254"/>
      <c r="BK38" s="254"/>
    </row>
    <row r="39" spans="1:63" ht="16.2" thickBot="1" x14ac:dyDescent="0.4">
      <c r="A39" s="296" t="s">
        <v>138</v>
      </c>
      <c r="B39" s="256">
        <v>6298</v>
      </c>
      <c r="C39" s="256">
        <v>4966</v>
      </c>
      <c r="D39" s="256">
        <v>7165</v>
      </c>
      <c r="E39" s="256">
        <v>6848</v>
      </c>
      <c r="F39" s="258">
        <v>4523</v>
      </c>
      <c r="G39" s="259">
        <f t="shared" si="33"/>
        <v>29800</v>
      </c>
      <c r="H39" s="260">
        <v>2</v>
      </c>
      <c r="I39" s="256">
        <v>14</v>
      </c>
      <c r="J39" s="256">
        <v>5</v>
      </c>
      <c r="K39" s="256">
        <v>8</v>
      </c>
      <c r="L39" s="256">
        <v>13</v>
      </c>
      <c r="M39" s="256">
        <v>32</v>
      </c>
      <c r="N39" s="256">
        <v>10</v>
      </c>
      <c r="O39" s="256">
        <v>14</v>
      </c>
      <c r="P39" s="256">
        <v>4</v>
      </c>
      <c r="Q39" s="256">
        <v>9</v>
      </c>
      <c r="R39" s="256">
        <f t="shared" si="34"/>
        <v>34</v>
      </c>
      <c r="S39" s="256">
        <f t="shared" si="34"/>
        <v>77</v>
      </c>
      <c r="T39" s="261">
        <f t="shared" si="28"/>
        <v>0.37248322147651008</v>
      </c>
      <c r="U39" s="256">
        <v>7</v>
      </c>
      <c r="V39" s="256">
        <v>13</v>
      </c>
      <c r="W39" s="256">
        <v>8</v>
      </c>
      <c r="X39" s="256">
        <v>10</v>
      </c>
      <c r="Y39" s="256">
        <v>10</v>
      </c>
      <c r="Z39" s="256">
        <v>37</v>
      </c>
      <c r="AA39" s="256">
        <v>4</v>
      </c>
      <c r="AB39" s="256">
        <v>12</v>
      </c>
      <c r="AC39" s="256">
        <v>6</v>
      </c>
      <c r="AD39" s="256">
        <v>5</v>
      </c>
      <c r="AE39" s="256">
        <f t="shared" si="29"/>
        <v>35</v>
      </c>
      <c r="AF39" s="256">
        <f t="shared" si="29"/>
        <v>77</v>
      </c>
      <c r="AG39" s="261">
        <f t="shared" si="30"/>
        <v>0.37583892617449666</v>
      </c>
      <c r="AH39" s="256">
        <v>14</v>
      </c>
      <c r="AI39" s="256">
        <v>4</v>
      </c>
      <c r="AJ39" s="256">
        <v>24</v>
      </c>
      <c r="AK39" s="256">
        <v>6</v>
      </c>
      <c r="AL39" s="256">
        <v>0</v>
      </c>
      <c r="AM39" s="256">
        <f t="shared" si="31"/>
        <v>48</v>
      </c>
      <c r="AN39" s="261">
        <f t="shared" si="32"/>
        <v>0.16107382550335569</v>
      </c>
      <c r="AO39" s="256">
        <v>12</v>
      </c>
      <c r="AP39" s="256">
        <v>4</v>
      </c>
      <c r="AQ39" s="256">
        <v>3</v>
      </c>
      <c r="AR39" s="256">
        <v>4</v>
      </c>
      <c r="AS39" s="256">
        <v>7</v>
      </c>
      <c r="AT39" s="256">
        <f t="shared" si="35"/>
        <v>30</v>
      </c>
      <c r="AU39" s="263">
        <v>1</v>
      </c>
      <c r="AV39" s="263">
        <v>0</v>
      </c>
      <c r="AW39" s="263">
        <v>2</v>
      </c>
      <c r="AX39" s="263">
        <v>1</v>
      </c>
      <c r="AY39" s="263">
        <v>0</v>
      </c>
      <c r="AZ39" s="256">
        <f t="shared" si="36"/>
        <v>4</v>
      </c>
      <c r="BA39" s="263">
        <v>49</v>
      </c>
      <c r="BB39" s="263">
        <v>18</v>
      </c>
      <c r="BC39" s="263">
        <v>70</v>
      </c>
      <c r="BD39" s="263">
        <v>32</v>
      </c>
      <c r="BE39" s="263">
        <v>24</v>
      </c>
      <c r="BF39" s="256">
        <f t="shared" si="37"/>
        <v>193</v>
      </c>
      <c r="BG39" s="252"/>
      <c r="BH39" s="265"/>
      <c r="BI39" s="266"/>
      <c r="BJ39" s="254"/>
      <c r="BK39" s="254"/>
    </row>
    <row r="40" spans="1:63" ht="16.2" thickBot="1" x14ac:dyDescent="0.4">
      <c r="A40" s="296" t="s">
        <v>16</v>
      </c>
      <c r="B40" s="256">
        <v>928</v>
      </c>
      <c r="C40" s="256">
        <v>757</v>
      </c>
      <c r="D40" s="256">
        <v>1497</v>
      </c>
      <c r="E40" s="256">
        <v>1449</v>
      </c>
      <c r="F40" s="258">
        <v>711</v>
      </c>
      <c r="G40" s="259">
        <f t="shared" si="33"/>
        <v>5342</v>
      </c>
      <c r="H40" s="260">
        <v>2</v>
      </c>
      <c r="I40" s="256">
        <v>0</v>
      </c>
      <c r="J40" s="256">
        <v>1</v>
      </c>
      <c r="K40" s="256">
        <v>2</v>
      </c>
      <c r="L40" s="256">
        <v>3</v>
      </c>
      <c r="M40" s="256">
        <v>3</v>
      </c>
      <c r="N40" s="256">
        <v>2</v>
      </c>
      <c r="O40" s="256">
        <v>1</v>
      </c>
      <c r="P40" s="256">
        <v>0</v>
      </c>
      <c r="Q40" s="256">
        <v>0</v>
      </c>
      <c r="R40" s="256">
        <f t="shared" si="34"/>
        <v>8</v>
      </c>
      <c r="S40" s="256">
        <f t="shared" si="34"/>
        <v>6</v>
      </c>
      <c r="T40" s="261">
        <f t="shared" si="28"/>
        <v>0.26207412953949832</v>
      </c>
      <c r="U40" s="256">
        <v>0</v>
      </c>
      <c r="V40" s="256">
        <v>1</v>
      </c>
      <c r="W40" s="256">
        <v>1</v>
      </c>
      <c r="X40" s="256">
        <v>1</v>
      </c>
      <c r="Y40" s="256">
        <v>1</v>
      </c>
      <c r="Z40" s="256">
        <v>1</v>
      </c>
      <c r="AA40" s="256">
        <v>0</v>
      </c>
      <c r="AB40" s="256">
        <v>4</v>
      </c>
      <c r="AC40" s="256">
        <v>0</v>
      </c>
      <c r="AD40" s="256">
        <v>0</v>
      </c>
      <c r="AE40" s="256">
        <f t="shared" si="29"/>
        <v>2</v>
      </c>
      <c r="AF40" s="256">
        <f t="shared" si="29"/>
        <v>7</v>
      </c>
      <c r="AG40" s="261">
        <f t="shared" si="30"/>
        <v>0.16847622613253463</v>
      </c>
      <c r="AH40" s="256">
        <v>2</v>
      </c>
      <c r="AI40" s="256">
        <v>0</v>
      </c>
      <c r="AJ40" s="256">
        <v>1</v>
      </c>
      <c r="AK40" s="256">
        <v>0</v>
      </c>
      <c r="AL40" s="256">
        <v>0</v>
      </c>
      <c r="AM40" s="256">
        <f t="shared" si="31"/>
        <v>3</v>
      </c>
      <c r="AN40" s="261">
        <f t="shared" si="32"/>
        <v>5.6158742044178207E-2</v>
      </c>
      <c r="AO40" s="256">
        <v>2</v>
      </c>
      <c r="AP40" s="256">
        <v>0</v>
      </c>
      <c r="AQ40" s="256">
        <v>0</v>
      </c>
      <c r="AR40" s="256">
        <v>0</v>
      </c>
      <c r="AS40" s="256">
        <v>0</v>
      </c>
      <c r="AT40" s="256">
        <f t="shared" si="35"/>
        <v>2</v>
      </c>
      <c r="AU40" s="263">
        <v>0</v>
      </c>
      <c r="AV40" s="263">
        <v>0</v>
      </c>
      <c r="AW40" s="263">
        <v>0</v>
      </c>
      <c r="AX40" s="263">
        <v>0</v>
      </c>
      <c r="AY40" s="263">
        <v>0</v>
      </c>
      <c r="AZ40" s="256">
        <f t="shared" si="36"/>
        <v>0</v>
      </c>
      <c r="BA40" s="263">
        <v>3</v>
      </c>
      <c r="BB40" s="263">
        <v>5</v>
      </c>
      <c r="BC40" s="263">
        <v>17</v>
      </c>
      <c r="BD40" s="263">
        <v>2</v>
      </c>
      <c r="BE40" s="263">
        <v>5</v>
      </c>
      <c r="BF40" s="256">
        <f t="shared" si="37"/>
        <v>32</v>
      </c>
      <c r="BG40" s="252"/>
      <c r="BH40" s="265"/>
      <c r="BI40" s="266"/>
      <c r="BJ40" s="254"/>
      <c r="BK40" s="254"/>
    </row>
    <row r="41" spans="1:63" ht="31.8" thickBot="1" x14ac:dyDescent="0.4">
      <c r="A41" s="297" t="s">
        <v>172</v>
      </c>
      <c r="B41" s="256">
        <v>201</v>
      </c>
      <c r="C41" s="256">
        <v>84</v>
      </c>
      <c r="D41" s="256">
        <v>319</v>
      </c>
      <c r="E41" s="256">
        <v>366</v>
      </c>
      <c r="F41" s="258">
        <v>74</v>
      </c>
      <c r="G41" s="259">
        <f t="shared" si="33"/>
        <v>1044</v>
      </c>
      <c r="H41" s="260">
        <v>0</v>
      </c>
      <c r="I41" s="256">
        <v>0</v>
      </c>
      <c r="J41" s="256">
        <v>0</v>
      </c>
      <c r="K41" s="256">
        <v>0</v>
      </c>
      <c r="L41" s="256">
        <v>0</v>
      </c>
      <c r="M41" s="256">
        <v>2</v>
      </c>
      <c r="N41" s="256">
        <v>1</v>
      </c>
      <c r="O41" s="256">
        <v>0</v>
      </c>
      <c r="P41" s="256">
        <v>0</v>
      </c>
      <c r="Q41" s="256">
        <v>0</v>
      </c>
      <c r="R41" s="256">
        <f t="shared" si="34"/>
        <v>1</v>
      </c>
      <c r="S41" s="256">
        <f t="shared" si="34"/>
        <v>2</v>
      </c>
      <c r="T41" s="261">
        <f t="shared" si="28"/>
        <v>0.28735632183908044</v>
      </c>
      <c r="U41" s="256">
        <v>0</v>
      </c>
      <c r="V41" s="256">
        <v>0</v>
      </c>
      <c r="W41" s="256">
        <v>0</v>
      </c>
      <c r="X41" s="256">
        <v>0</v>
      </c>
      <c r="Y41" s="256">
        <v>2</v>
      </c>
      <c r="Z41" s="256">
        <v>2</v>
      </c>
      <c r="AA41" s="256">
        <v>0</v>
      </c>
      <c r="AB41" s="256">
        <v>1</v>
      </c>
      <c r="AC41" s="256">
        <v>0</v>
      </c>
      <c r="AD41" s="256">
        <v>0</v>
      </c>
      <c r="AE41" s="256">
        <f t="shared" si="29"/>
        <v>2</v>
      </c>
      <c r="AF41" s="256">
        <f t="shared" si="29"/>
        <v>3</v>
      </c>
      <c r="AG41" s="261">
        <f t="shared" si="30"/>
        <v>0.47892720306513409</v>
      </c>
      <c r="AH41" s="256">
        <v>1</v>
      </c>
      <c r="AI41" s="256">
        <v>0</v>
      </c>
      <c r="AJ41" s="256">
        <v>0</v>
      </c>
      <c r="AK41" s="256">
        <v>0</v>
      </c>
      <c r="AL41" s="256">
        <v>0</v>
      </c>
      <c r="AM41" s="256">
        <f t="shared" si="31"/>
        <v>1</v>
      </c>
      <c r="AN41" s="261">
        <f t="shared" si="32"/>
        <v>9.5785440613026823E-2</v>
      </c>
      <c r="AO41" s="256">
        <v>1</v>
      </c>
      <c r="AP41" s="256">
        <v>0</v>
      </c>
      <c r="AQ41" s="256">
        <v>0</v>
      </c>
      <c r="AR41" s="256">
        <v>0</v>
      </c>
      <c r="AS41" s="256">
        <v>1</v>
      </c>
      <c r="AT41" s="256">
        <f t="shared" si="35"/>
        <v>2</v>
      </c>
      <c r="AU41" s="263">
        <v>0</v>
      </c>
      <c r="AV41" s="263">
        <v>0</v>
      </c>
      <c r="AW41" s="263">
        <v>0</v>
      </c>
      <c r="AX41" s="263">
        <v>1</v>
      </c>
      <c r="AY41" s="263">
        <v>0</v>
      </c>
      <c r="AZ41" s="256">
        <f t="shared" si="36"/>
        <v>1</v>
      </c>
      <c r="BA41" s="263">
        <v>0</v>
      </c>
      <c r="BB41" s="263">
        <v>1</v>
      </c>
      <c r="BC41" s="263">
        <v>9</v>
      </c>
      <c r="BD41" s="263">
        <v>1</v>
      </c>
      <c r="BE41" s="263">
        <v>3</v>
      </c>
      <c r="BF41" s="256">
        <f t="shared" si="37"/>
        <v>14</v>
      </c>
      <c r="BG41" s="252"/>
      <c r="BH41" s="265"/>
      <c r="BI41" s="266"/>
      <c r="BJ41" s="254"/>
      <c r="BK41" s="254"/>
    </row>
    <row r="42" spans="1:63" ht="16.2" thickBot="1" x14ac:dyDescent="0.4">
      <c r="A42" s="296" t="s">
        <v>139</v>
      </c>
      <c r="B42" s="256">
        <v>850</v>
      </c>
      <c r="C42" s="256">
        <v>492</v>
      </c>
      <c r="D42" s="256">
        <v>1091</v>
      </c>
      <c r="E42" s="256">
        <v>795</v>
      </c>
      <c r="F42" s="258">
        <v>881</v>
      </c>
      <c r="G42" s="259">
        <f t="shared" si="33"/>
        <v>4109</v>
      </c>
      <c r="H42" s="260">
        <v>0</v>
      </c>
      <c r="I42" s="256">
        <v>1</v>
      </c>
      <c r="J42" s="256">
        <v>0</v>
      </c>
      <c r="K42" s="256">
        <v>1</v>
      </c>
      <c r="L42" s="256">
        <v>2</v>
      </c>
      <c r="M42" s="256">
        <v>4</v>
      </c>
      <c r="N42" s="256">
        <v>0</v>
      </c>
      <c r="O42" s="256">
        <v>1</v>
      </c>
      <c r="P42" s="256">
        <v>0</v>
      </c>
      <c r="Q42" s="256">
        <v>1</v>
      </c>
      <c r="R42" s="256">
        <f t="shared" si="34"/>
        <v>2</v>
      </c>
      <c r="S42" s="256">
        <f t="shared" si="34"/>
        <v>8</v>
      </c>
      <c r="T42" s="261">
        <f t="shared" si="28"/>
        <v>0.24336821611097589</v>
      </c>
      <c r="U42" s="256">
        <v>0</v>
      </c>
      <c r="V42" s="256">
        <v>4</v>
      </c>
      <c r="W42" s="256">
        <v>0</v>
      </c>
      <c r="X42" s="256">
        <v>1</v>
      </c>
      <c r="Y42" s="256">
        <v>0</v>
      </c>
      <c r="Z42" s="256">
        <v>1</v>
      </c>
      <c r="AA42" s="256">
        <v>0</v>
      </c>
      <c r="AB42" s="256">
        <v>1</v>
      </c>
      <c r="AC42" s="256">
        <v>0</v>
      </c>
      <c r="AD42" s="256">
        <v>1</v>
      </c>
      <c r="AE42" s="256">
        <f t="shared" si="29"/>
        <v>0</v>
      </c>
      <c r="AF42" s="256">
        <f t="shared" si="29"/>
        <v>8</v>
      </c>
      <c r="AG42" s="261">
        <f t="shared" si="30"/>
        <v>0.19469457288878073</v>
      </c>
      <c r="AH42" s="256">
        <v>0</v>
      </c>
      <c r="AI42" s="256">
        <v>2</v>
      </c>
      <c r="AJ42" s="256">
        <v>2</v>
      </c>
      <c r="AK42" s="256">
        <v>1</v>
      </c>
      <c r="AL42" s="256">
        <v>0</v>
      </c>
      <c r="AM42" s="256">
        <f t="shared" si="31"/>
        <v>5</v>
      </c>
      <c r="AN42" s="261">
        <f t="shared" si="32"/>
        <v>0.12168410805548795</v>
      </c>
      <c r="AO42" s="256">
        <v>0</v>
      </c>
      <c r="AP42" s="256">
        <v>1</v>
      </c>
      <c r="AQ42" s="256">
        <v>1</v>
      </c>
      <c r="AR42" s="256">
        <v>0</v>
      </c>
      <c r="AS42" s="256">
        <v>0</v>
      </c>
      <c r="AT42" s="256">
        <f t="shared" si="35"/>
        <v>2</v>
      </c>
      <c r="AU42" s="263">
        <v>0</v>
      </c>
      <c r="AV42" s="263">
        <v>0</v>
      </c>
      <c r="AW42" s="263">
        <v>0</v>
      </c>
      <c r="AX42" s="263">
        <v>0</v>
      </c>
      <c r="AY42" s="263">
        <v>0</v>
      </c>
      <c r="AZ42" s="256">
        <f t="shared" si="36"/>
        <v>0</v>
      </c>
      <c r="BA42" s="263">
        <v>5</v>
      </c>
      <c r="BB42" s="263">
        <v>2</v>
      </c>
      <c r="BC42" s="263">
        <v>5</v>
      </c>
      <c r="BD42" s="263">
        <v>4</v>
      </c>
      <c r="BE42" s="263">
        <v>5</v>
      </c>
      <c r="BF42" s="256">
        <f t="shared" si="37"/>
        <v>21</v>
      </c>
      <c r="BG42" s="252"/>
      <c r="BH42" s="265"/>
      <c r="BI42" s="266"/>
      <c r="BJ42" s="254"/>
      <c r="BK42" s="254"/>
    </row>
    <row r="43" spans="1:63" ht="16.2" thickBot="1" x14ac:dyDescent="0.4">
      <c r="A43" s="296" t="s">
        <v>140</v>
      </c>
      <c r="B43" s="256">
        <v>364</v>
      </c>
      <c r="C43" s="256">
        <v>122</v>
      </c>
      <c r="D43" s="256">
        <v>557</v>
      </c>
      <c r="E43" s="256">
        <v>364</v>
      </c>
      <c r="F43" s="258">
        <v>301</v>
      </c>
      <c r="G43" s="259">
        <f t="shared" si="33"/>
        <v>1708</v>
      </c>
      <c r="H43" s="260">
        <v>1</v>
      </c>
      <c r="I43" s="256">
        <v>2</v>
      </c>
      <c r="J43" s="256">
        <v>2</v>
      </c>
      <c r="K43" s="256">
        <v>1</v>
      </c>
      <c r="L43" s="256">
        <v>1</v>
      </c>
      <c r="M43" s="256">
        <v>1</v>
      </c>
      <c r="N43" s="256">
        <v>4</v>
      </c>
      <c r="O43" s="256">
        <v>3</v>
      </c>
      <c r="P43" s="256">
        <v>0</v>
      </c>
      <c r="Q43" s="256">
        <v>1</v>
      </c>
      <c r="R43" s="256">
        <f t="shared" si="34"/>
        <v>8</v>
      </c>
      <c r="S43" s="256">
        <f t="shared" si="34"/>
        <v>8</v>
      </c>
      <c r="T43" s="261">
        <f t="shared" si="28"/>
        <v>0.93676814988290402</v>
      </c>
      <c r="U43" s="256">
        <v>0</v>
      </c>
      <c r="V43" s="256">
        <v>3</v>
      </c>
      <c r="W43" s="256">
        <v>1</v>
      </c>
      <c r="X43" s="256">
        <v>0</v>
      </c>
      <c r="Y43" s="256">
        <v>1</v>
      </c>
      <c r="Z43" s="256">
        <v>4</v>
      </c>
      <c r="AA43" s="256">
        <v>3</v>
      </c>
      <c r="AB43" s="256">
        <v>3</v>
      </c>
      <c r="AC43" s="256">
        <v>0</v>
      </c>
      <c r="AD43" s="256">
        <v>1</v>
      </c>
      <c r="AE43" s="256">
        <f t="shared" si="29"/>
        <v>5</v>
      </c>
      <c r="AF43" s="256">
        <f t="shared" si="29"/>
        <v>11</v>
      </c>
      <c r="AG43" s="261">
        <f t="shared" si="30"/>
        <v>0.93676814988290402</v>
      </c>
      <c r="AH43" s="256">
        <v>9</v>
      </c>
      <c r="AI43" s="256">
        <v>0</v>
      </c>
      <c r="AJ43" s="256">
        <v>10</v>
      </c>
      <c r="AK43" s="256">
        <v>1</v>
      </c>
      <c r="AL43" s="256">
        <v>0</v>
      </c>
      <c r="AM43" s="256">
        <f t="shared" si="31"/>
        <v>20</v>
      </c>
      <c r="AN43" s="261">
        <f t="shared" si="32"/>
        <v>1.1709601873536299</v>
      </c>
      <c r="AO43" s="256">
        <v>0</v>
      </c>
      <c r="AP43" s="256">
        <v>0</v>
      </c>
      <c r="AQ43" s="256">
        <v>3</v>
      </c>
      <c r="AR43" s="256">
        <v>2</v>
      </c>
      <c r="AS43" s="256">
        <v>1</v>
      </c>
      <c r="AT43" s="256">
        <f t="shared" ref="AT43:AT49" si="38">SUM(AO43:AS43)</f>
        <v>6</v>
      </c>
      <c r="AU43" s="263">
        <v>0</v>
      </c>
      <c r="AV43" s="263">
        <v>0</v>
      </c>
      <c r="AW43" s="263">
        <v>0</v>
      </c>
      <c r="AX43" s="263">
        <v>0</v>
      </c>
      <c r="AY43" s="263">
        <v>0</v>
      </c>
      <c r="AZ43" s="256">
        <f t="shared" si="36"/>
        <v>0</v>
      </c>
      <c r="BA43" s="263">
        <v>11</v>
      </c>
      <c r="BB43" s="263">
        <v>0</v>
      </c>
      <c r="BC43" s="263">
        <v>8</v>
      </c>
      <c r="BD43" s="263">
        <v>7</v>
      </c>
      <c r="BE43" s="263">
        <v>6</v>
      </c>
      <c r="BF43" s="256">
        <f t="shared" si="37"/>
        <v>32</v>
      </c>
      <c r="BG43" s="252"/>
      <c r="BH43" s="265"/>
      <c r="BI43" s="266"/>
      <c r="BJ43" s="254"/>
      <c r="BK43" s="254"/>
    </row>
    <row r="44" spans="1:63" ht="16.2" thickBot="1" x14ac:dyDescent="0.4">
      <c r="A44" s="296" t="s">
        <v>141</v>
      </c>
      <c r="B44" s="256">
        <v>1845</v>
      </c>
      <c r="C44" s="256">
        <v>1110</v>
      </c>
      <c r="D44" s="256">
        <v>2494</v>
      </c>
      <c r="E44" s="256">
        <v>2262</v>
      </c>
      <c r="F44" s="258">
        <v>1537</v>
      </c>
      <c r="G44" s="259">
        <f t="shared" si="33"/>
        <v>9248</v>
      </c>
      <c r="H44" s="260">
        <v>0</v>
      </c>
      <c r="I44" s="256">
        <v>3</v>
      </c>
      <c r="J44" s="256">
        <v>1</v>
      </c>
      <c r="K44" s="256">
        <v>0</v>
      </c>
      <c r="L44" s="256">
        <v>3</v>
      </c>
      <c r="M44" s="256">
        <v>5</v>
      </c>
      <c r="N44" s="256">
        <v>0</v>
      </c>
      <c r="O44" s="256">
        <v>6</v>
      </c>
      <c r="P44" s="256">
        <v>1</v>
      </c>
      <c r="Q44" s="256">
        <v>0</v>
      </c>
      <c r="R44" s="256">
        <f t="shared" si="34"/>
        <v>5</v>
      </c>
      <c r="S44" s="256">
        <f t="shared" si="34"/>
        <v>14</v>
      </c>
      <c r="T44" s="261">
        <f t="shared" si="28"/>
        <v>0.20544982698961939</v>
      </c>
      <c r="U44" s="256">
        <v>0</v>
      </c>
      <c r="V44" s="256">
        <v>3</v>
      </c>
      <c r="W44" s="256">
        <v>0</v>
      </c>
      <c r="X44" s="256">
        <v>2</v>
      </c>
      <c r="Y44" s="256">
        <v>3</v>
      </c>
      <c r="Z44" s="256">
        <v>6</v>
      </c>
      <c r="AA44" s="256">
        <v>2</v>
      </c>
      <c r="AB44" s="256">
        <v>2</v>
      </c>
      <c r="AC44" s="256">
        <v>0</v>
      </c>
      <c r="AD44" s="256">
        <v>3</v>
      </c>
      <c r="AE44" s="256">
        <f t="shared" si="29"/>
        <v>5</v>
      </c>
      <c r="AF44" s="256">
        <f t="shared" si="29"/>
        <v>16</v>
      </c>
      <c r="AG44" s="261">
        <f t="shared" si="30"/>
        <v>0.22707612456747406</v>
      </c>
      <c r="AH44" s="256">
        <v>1</v>
      </c>
      <c r="AI44" s="256">
        <v>1</v>
      </c>
      <c r="AJ44" s="256">
        <v>5</v>
      </c>
      <c r="AK44" s="256">
        <v>1</v>
      </c>
      <c r="AL44" s="256">
        <v>0</v>
      </c>
      <c r="AM44" s="256">
        <f t="shared" si="31"/>
        <v>8</v>
      </c>
      <c r="AN44" s="261">
        <f t="shared" si="32"/>
        <v>8.6505190311418678E-2</v>
      </c>
      <c r="AO44" s="256">
        <v>0</v>
      </c>
      <c r="AP44" s="256">
        <v>1</v>
      </c>
      <c r="AQ44" s="256">
        <v>0</v>
      </c>
      <c r="AR44" s="256">
        <v>1</v>
      </c>
      <c r="AS44" s="256">
        <v>1</v>
      </c>
      <c r="AT44" s="256">
        <f t="shared" si="38"/>
        <v>3</v>
      </c>
      <c r="AU44" s="263">
        <v>0</v>
      </c>
      <c r="AV44" s="263">
        <v>0</v>
      </c>
      <c r="AW44" s="263">
        <v>0</v>
      </c>
      <c r="AX44" s="263">
        <v>0</v>
      </c>
      <c r="AY44" s="263">
        <v>0</v>
      </c>
      <c r="AZ44" s="256">
        <f t="shared" si="36"/>
        <v>0</v>
      </c>
      <c r="BA44" s="263">
        <v>10</v>
      </c>
      <c r="BB44" s="263">
        <v>4</v>
      </c>
      <c r="BC44" s="263">
        <v>9</v>
      </c>
      <c r="BD44" s="263">
        <v>6</v>
      </c>
      <c r="BE44" s="263">
        <v>7</v>
      </c>
      <c r="BF44" s="256">
        <f t="shared" si="37"/>
        <v>36</v>
      </c>
      <c r="BG44" s="252"/>
      <c r="BH44" s="265"/>
      <c r="BI44" s="266"/>
      <c r="BJ44" s="254"/>
      <c r="BK44" s="254"/>
    </row>
    <row r="45" spans="1:63" ht="16.2" thickBot="1" x14ac:dyDescent="0.4">
      <c r="A45" s="296" t="s">
        <v>142</v>
      </c>
      <c r="B45" s="256">
        <v>23</v>
      </c>
      <c r="C45" s="256">
        <v>12</v>
      </c>
      <c r="D45" s="256">
        <v>65</v>
      </c>
      <c r="E45" s="256">
        <v>151</v>
      </c>
      <c r="F45" s="258">
        <v>10</v>
      </c>
      <c r="G45" s="259">
        <f t="shared" si="33"/>
        <v>261</v>
      </c>
      <c r="H45" s="260">
        <v>0</v>
      </c>
      <c r="I45" s="256">
        <v>0</v>
      </c>
      <c r="J45" s="256">
        <v>0</v>
      </c>
      <c r="K45" s="256">
        <v>0</v>
      </c>
      <c r="L45" s="256">
        <v>0</v>
      </c>
      <c r="M45" s="256">
        <v>0</v>
      </c>
      <c r="N45" s="256">
        <v>0</v>
      </c>
      <c r="O45" s="256">
        <v>0</v>
      </c>
      <c r="P45" s="256">
        <v>0</v>
      </c>
      <c r="Q45" s="256">
        <v>0</v>
      </c>
      <c r="R45" s="256">
        <f t="shared" si="34"/>
        <v>0</v>
      </c>
      <c r="S45" s="256">
        <f t="shared" si="34"/>
        <v>0</v>
      </c>
      <c r="T45" s="261">
        <f t="shared" si="28"/>
        <v>0</v>
      </c>
      <c r="U45" s="256">
        <v>0</v>
      </c>
      <c r="V45" s="256">
        <v>0</v>
      </c>
      <c r="W45" s="256">
        <v>0</v>
      </c>
      <c r="X45" s="256">
        <v>0</v>
      </c>
      <c r="Y45" s="256">
        <v>0</v>
      </c>
      <c r="Z45" s="256">
        <v>0</v>
      </c>
      <c r="AA45" s="256">
        <v>0</v>
      </c>
      <c r="AB45" s="256">
        <v>0</v>
      </c>
      <c r="AC45" s="256">
        <v>0</v>
      </c>
      <c r="AD45" s="256">
        <v>0</v>
      </c>
      <c r="AE45" s="256">
        <f t="shared" si="29"/>
        <v>0</v>
      </c>
      <c r="AF45" s="256">
        <f t="shared" si="29"/>
        <v>0</v>
      </c>
      <c r="AG45" s="261">
        <f t="shared" si="30"/>
        <v>0</v>
      </c>
      <c r="AH45" s="256">
        <v>0</v>
      </c>
      <c r="AI45" s="256">
        <v>0</v>
      </c>
      <c r="AJ45" s="256">
        <v>0</v>
      </c>
      <c r="AK45" s="256">
        <v>0</v>
      </c>
      <c r="AL45" s="256">
        <v>0</v>
      </c>
      <c r="AM45" s="256">
        <f t="shared" si="31"/>
        <v>0</v>
      </c>
      <c r="AN45" s="261">
        <f t="shared" si="32"/>
        <v>0</v>
      </c>
      <c r="AO45" s="256">
        <v>0</v>
      </c>
      <c r="AP45" s="256">
        <v>0</v>
      </c>
      <c r="AQ45" s="256">
        <v>0</v>
      </c>
      <c r="AR45" s="256">
        <v>0</v>
      </c>
      <c r="AS45" s="256">
        <v>0</v>
      </c>
      <c r="AT45" s="256">
        <f t="shared" si="38"/>
        <v>0</v>
      </c>
      <c r="AU45" s="263">
        <v>0</v>
      </c>
      <c r="AV45" s="263">
        <v>0</v>
      </c>
      <c r="AW45" s="263">
        <v>0</v>
      </c>
      <c r="AX45" s="263">
        <v>0</v>
      </c>
      <c r="AY45" s="263">
        <v>0</v>
      </c>
      <c r="AZ45" s="256">
        <f t="shared" si="36"/>
        <v>0</v>
      </c>
      <c r="BA45" s="263">
        <v>0</v>
      </c>
      <c r="BB45" s="263">
        <v>0</v>
      </c>
      <c r="BC45" s="263">
        <v>0</v>
      </c>
      <c r="BD45" s="263">
        <v>0</v>
      </c>
      <c r="BE45" s="263">
        <v>1</v>
      </c>
      <c r="BF45" s="256">
        <f t="shared" si="37"/>
        <v>1</v>
      </c>
      <c r="BG45" s="252"/>
      <c r="BH45" s="265"/>
      <c r="BI45" s="266"/>
      <c r="BJ45" s="254"/>
      <c r="BK45" s="254"/>
    </row>
    <row r="46" spans="1:63" ht="16.2" thickBot="1" x14ac:dyDescent="0.4">
      <c r="A46" s="296" t="s">
        <v>143</v>
      </c>
      <c r="B46" s="256">
        <v>1323</v>
      </c>
      <c r="C46" s="256">
        <v>853</v>
      </c>
      <c r="D46" s="256">
        <v>1647</v>
      </c>
      <c r="E46" s="256">
        <v>1666</v>
      </c>
      <c r="F46" s="258">
        <v>979</v>
      </c>
      <c r="G46" s="259">
        <f t="shared" si="33"/>
        <v>6468</v>
      </c>
      <c r="H46" s="260">
        <v>0</v>
      </c>
      <c r="I46" s="256">
        <v>0</v>
      </c>
      <c r="J46" s="256">
        <v>0</v>
      </c>
      <c r="K46" s="256">
        <v>0</v>
      </c>
      <c r="L46" s="256">
        <v>2</v>
      </c>
      <c r="M46" s="256">
        <v>1</v>
      </c>
      <c r="N46" s="256">
        <v>0</v>
      </c>
      <c r="O46" s="256">
        <v>0</v>
      </c>
      <c r="P46" s="256">
        <v>0</v>
      </c>
      <c r="Q46" s="256">
        <v>0</v>
      </c>
      <c r="R46" s="256">
        <f t="shared" si="34"/>
        <v>2</v>
      </c>
      <c r="S46" s="256">
        <f t="shared" si="34"/>
        <v>1</v>
      </c>
      <c r="T46" s="261">
        <f t="shared" si="28"/>
        <v>4.6382189239332093E-2</v>
      </c>
      <c r="U46" s="256">
        <v>8</v>
      </c>
      <c r="V46" s="256">
        <v>6</v>
      </c>
      <c r="W46" s="256">
        <v>3</v>
      </c>
      <c r="X46" s="256">
        <v>3</v>
      </c>
      <c r="Y46" s="256">
        <v>4</v>
      </c>
      <c r="Z46" s="256">
        <v>0</v>
      </c>
      <c r="AA46" s="256">
        <v>1</v>
      </c>
      <c r="AB46" s="256">
        <v>2</v>
      </c>
      <c r="AC46" s="256">
        <v>1</v>
      </c>
      <c r="AD46" s="256">
        <v>3</v>
      </c>
      <c r="AE46" s="256">
        <f t="shared" si="29"/>
        <v>17</v>
      </c>
      <c r="AF46" s="256">
        <f t="shared" si="29"/>
        <v>14</v>
      </c>
      <c r="AG46" s="261">
        <f t="shared" si="30"/>
        <v>0.47928262213976502</v>
      </c>
      <c r="AH46" s="256">
        <v>4</v>
      </c>
      <c r="AI46" s="256">
        <v>0</v>
      </c>
      <c r="AJ46" s="256">
        <v>1</v>
      </c>
      <c r="AK46" s="256">
        <v>0</v>
      </c>
      <c r="AL46" s="256">
        <v>1</v>
      </c>
      <c r="AM46" s="256">
        <f t="shared" si="31"/>
        <v>6</v>
      </c>
      <c r="AN46" s="261">
        <f t="shared" si="32"/>
        <v>9.2764378478664186E-2</v>
      </c>
      <c r="AO46" s="256">
        <v>0</v>
      </c>
      <c r="AP46" s="256">
        <v>2</v>
      </c>
      <c r="AQ46" s="256">
        <v>0</v>
      </c>
      <c r="AR46" s="256">
        <v>0</v>
      </c>
      <c r="AS46" s="256">
        <v>0</v>
      </c>
      <c r="AT46" s="256">
        <f t="shared" si="38"/>
        <v>2</v>
      </c>
      <c r="AU46" s="263">
        <v>0</v>
      </c>
      <c r="AV46" s="263">
        <v>0</v>
      </c>
      <c r="AW46" s="263">
        <v>0</v>
      </c>
      <c r="AX46" s="263">
        <v>1</v>
      </c>
      <c r="AY46" s="263">
        <v>0</v>
      </c>
      <c r="AZ46" s="256">
        <f t="shared" si="36"/>
        <v>1</v>
      </c>
      <c r="BA46" s="263">
        <v>17</v>
      </c>
      <c r="BB46" s="263">
        <v>5</v>
      </c>
      <c r="BC46" s="263">
        <v>21</v>
      </c>
      <c r="BD46" s="263">
        <v>9</v>
      </c>
      <c r="BE46" s="263">
        <v>6</v>
      </c>
      <c r="BF46" s="256">
        <f t="shared" si="37"/>
        <v>58</v>
      </c>
      <c r="BG46" s="252"/>
      <c r="BH46" s="265"/>
      <c r="BI46" s="266"/>
      <c r="BJ46" s="254"/>
      <c r="BK46" s="254"/>
    </row>
    <row r="47" spans="1:63" ht="31.8" thickBot="1" x14ac:dyDescent="0.4">
      <c r="A47" s="297" t="s">
        <v>144</v>
      </c>
      <c r="B47" s="256">
        <v>47</v>
      </c>
      <c r="C47" s="256">
        <v>21</v>
      </c>
      <c r="D47" s="256">
        <v>73</v>
      </c>
      <c r="E47" s="256">
        <v>57</v>
      </c>
      <c r="F47" s="258">
        <v>29</v>
      </c>
      <c r="G47" s="259">
        <f t="shared" si="33"/>
        <v>227</v>
      </c>
      <c r="H47" s="260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0</v>
      </c>
      <c r="P47" s="256">
        <v>0</v>
      </c>
      <c r="Q47" s="256">
        <v>0</v>
      </c>
      <c r="R47" s="256">
        <f t="shared" si="34"/>
        <v>0</v>
      </c>
      <c r="S47" s="256">
        <f t="shared" si="34"/>
        <v>0</v>
      </c>
      <c r="T47" s="261">
        <f t="shared" si="28"/>
        <v>0</v>
      </c>
      <c r="U47" s="256">
        <v>0</v>
      </c>
      <c r="V47" s="256">
        <v>0</v>
      </c>
      <c r="W47" s="256">
        <v>0</v>
      </c>
      <c r="X47" s="256">
        <v>0</v>
      </c>
      <c r="Y47" s="256">
        <v>0</v>
      </c>
      <c r="Z47" s="256">
        <v>0</v>
      </c>
      <c r="AA47" s="256">
        <v>1</v>
      </c>
      <c r="AB47" s="256">
        <v>0</v>
      </c>
      <c r="AC47" s="256">
        <v>0</v>
      </c>
      <c r="AD47" s="256">
        <v>0</v>
      </c>
      <c r="AE47" s="256">
        <f t="shared" si="29"/>
        <v>1</v>
      </c>
      <c r="AF47" s="256">
        <f t="shared" si="29"/>
        <v>0</v>
      </c>
      <c r="AG47" s="261">
        <f t="shared" si="30"/>
        <v>0.44052863436123346</v>
      </c>
      <c r="AH47" s="256">
        <v>0</v>
      </c>
      <c r="AI47" s="256">
        <v>0</v>
      </c>
      <c r="AJ47" s="256">
        <v>0</v>
      </c>
      <c r="AK47" s="256">
        <v>0</v>
      </c>
      <c r="AL47" s="256">
        <v>0</v>
      </c>
      <c r="AM47" s="256">
        <f t="shared" si="31"/>
        <v>0</v>
      </c>
      <c r="AN47" s="261">
        <f t="shared" si="32"/>
        <v>0</v>
      </c>
      <c r="AO47" s="256">
        <v>0</v>
      </c>
      <c r="AP47" s="256">
        <v>0</v>
      </c>
      <c r="AQ47" s="256">
        <v>0</v>
      </c>
      <c r="AR47" s="256">
        <v>0</v>
      </c>
      <c r="AS47" s="256">
        <v>0</v>
      </c>
      <c r="AT47" s="256">
        <f t="shared" si="38"/>
        <v>0</v>
      </c>
      <c r="AU47" s="263">
        <v>0</v>
      </c>
      <c r="AV47" s="263">
        <v>0</v>
      </c>
      <c r="AW47" s="263">
        <v>0</v>
      </c>
      <c r="AX47" s="263">
        <v>0</v>
      </c>
      <c r="AY47" s="263">
        <v>0</v>
      </c>
      <c r="AZ47" s="256">
        <f t="shared" ref="AZ47:AZ49" si="39">SUM(AU47:AY47)</f>
        <v>0</v>
      </c>
      <c r="BA47" s="263">
        <v>0</v>
      </c>
      <c r="BB47" s="263">
        <v>0</v>
      </c>
      <c r="BC47" s="263">
        <v>0</v>
      </c>
      <c r="BD47" s="263">
        <v>1</v>
      </c>
      <c r="BE47" s="263">
        <v>0</v>
      </c>
      <c r="BF47" s="256">
        <f t="shared" si="37"/>
        <v>1</v>
      </c>
      <c r="BG47" s="252"/>
      <c r="BH47" s="265"/>
      <c r="BI47" s="266"/>
      <c r="BJ47" s="254"/>
      <c r="BK47" s="254"/>
    </row>
    <row r="48" spans="1:63" ht="16.2" thickBot="1" x14ac:dyDescent="0.4">
      <c r="A48" s="296" t="s">
        <v>145</v>
      </c>
      <c r="B48" s="256">
        <v>560</v>
      </c>
      <c r="C48" s="256">
        <v>445</v>
      </c>
      <c r="D48" s="256">
        <v>2899</v>
      </c>
      <c r="E48" s="256">
        <v>794</v>
      </c>
      <c r="F48" s="258">
        <v>481</v>
      </c>
      <c r="G48" s="259">
        <f t="shared" si="33"/>
        <v>5179</v>
      </c>
      <c r="H48" s="260">
        <v>0</v>
      </c>
      <c r="I48" s="256">
        <v>0</v>
      </c>
      <c r="J48" s="256">
        <v>1</v>
      </c>
      <c r="K48" s="256">
        <v>1</v>
      </c>
      <c r="L48" s="256">
        <v>1</v>
      </c>
      <c r="M48" s="256">
        <v>3</v>
      </c>
      <c r="N48" s="256">
        <v>0</v>
      </c>
      <c r="O48" s="256">
        <v>3</v>
      </c>
      <c r="P48" s="256">
        <v>0</v>
      </c>
      <c r="Q48" s="256">
        <v>1</v>
      </c>
      <c r="R48" s="256">
        <f t="shared" si="34"/>
        <v>2</v>
      </c>
      <c r="S48" s="256">
        <f t="shared" si="34"/>
        <v>8</v>
      </c>
      <c r="T48" s="261">
        <f t="shared" si="28"/>
        <v>0.19308746862328635</v>
      </c>
      <c r="U48" s="256">
        <v>1</v>
      </c>
      <c r="V48" s="256">
        <v>0</v>
      </c>
      <c r="W48" s="256">
        <v>0</v>
      </c>
      <c r="X48" s="256">
        <v>0</v>
      </c>
      <c r="Y48" s="256">
        <v>1</v>
      </c>
      <c r="Z48" s="256">
        <v>4</v>
      </c>
      <c r="AA48" s="256">
        <v>2</v>
      </c>
      <c r="AB48" s="256">
        <v>1</v>
      </c>
      <c r="AC48" s="256">
        <v>0</v>
      </c>
      <c r="AD48" s="256">
        <v>0</v>
      </c>
      <c r="AE48" s="256">
        <f t="shared" ref="AE48:AF49" si="40">U48+W48+Y48+AA48+AC48</f>
        <v>4</v>
      </c>
      <c r="AF48" s="256">
        <f t="shared" si="40"/>
        <v>5</v>
      </c>
      <c r="AG48" s="261">
        <f t="shared" si="30"/>
        <v>0.17377872176095771</v>
      </c>
      <c r="AH48" s="256">
        <v>0</v>
      </c>
      <c r="AI48" s="256">
        <v>0</v>
      </c>
      <c r="AJ48" s="256">
        <v>0</v>
      </c>
      <c r="AK48" s="256">
        <v>1</v>
      </c>
      <c r="AL48" s="256">
        <v>0</v>
      </c>
      <c r="AM48" s="256">
        <f t="shared" si="31"/>
        <v>1</v>
      </c>
      <c r="AN48" s="261">
        <f t="shared" si="32"/>
        <v>1.9308746862328634E-2</v>
      </c>
      <c r="AO48" s="256">
        <v>0</v>
      </c>
      <c r="AP48" s="256">
        <v>0</v>
      </c>
      <c r="AQ48" s="256">
        <v>1</v>
      </c>
      <c r="AR48" s="256">
        <v>2</v>
      </c>
      <c r="AS48" s="256">
        <v>0</v>
      </c>
      <c r="AT48" s="256">
        <f t="shared" si="38"/>
        <v>3</v>
      </c>
      <c r="AU48" s="263">
        <v>1</v>
      </c>
      <c r="AV48" s="263">
        <v>0</v>
      </c>
      <c r="AW48" s="263">
        <v>0</v>
      </c>
      <c r="AX48" s="263">
        <v>0</v>
      </c>
      <c r="AY48" s="263">
        <v>0</v>
      </c>
      <c r="AZ48" s="256">
        <f t="shared" si="39"/>
        <v>1</v>
      </c>
      <c r="BA48" s="263">
        <v>1</v>
      </c>
      <c r="BB48" s="263">
        <v>2</v>
      </c>
      <c r="BC48" s="263">
        <v>7</v>
      </c>
      <c r="BD48" s="263">
        <v>4</v>
      </c>
      <c r="BE48" s="263">
        <v>1</v>
      </c>
      <c r="BF48" s="256">
        <f t="shared" si="37"/>
        <v>15</v>
      </c>
      <c r="BG48" s="252"/>
      <c r="BH48" s="265"/>
      <c r="BI48" s="266"/>
      <c r="BJ48" s="254"/>
      <c r="BK48" s="254"/>
    </row>
    <row r="49" spans="1:63" ht="30.45" customHeight="1" thickBot="1" x14ac:dyDescent="0.4">
      <c r="A49" s="297" t="s">
        <v>146</v>
      </c>
      <c r="B49" s="256">
        <v>93799</v>
      </c>
      <c r="C49" s="256">
        <v>63167</v>
      </c>
      <c r="D49" s="256">
        <v>135181</v>
      </c>
      <c r="E49" s="256">
        <v>121956</v>
      </c>
      <c r="F49" s="258">
        <v>77126</v>
      </c>
      <c r="G49" s="259">
        <f t="shared" si="33"/>
        <v>491229</v>
      </c>
      <c r="H49" s="260">
        <v>40</v>
      </c>
      <c r="I49" s="256">
        <v>116</v>
      </c>
      <c r="J49" s="256">
        <v>28</v>
      </c>
      <c r="K49" s="256">
        <v>41</v>
      </c>
      <c r="L49" s="256">
        <v>57</v>
      </c>
      <c r="M49" s="256">
        <v>212</v>
      </c>
      <c r="N49" s="256">
        <v>37</v>
      </c>
      <c r="O49" s="256">
        <v>141</v>
      </c>
      <c r="P49" s="256">
        <v>11</v>
      </c>
      <c r="Q49" s="256">
        <v>44</v>
      </c>
      <c r="R49" s="256">
        <f t="shared" si="34"/>
        <v>173</v>
      </c>
      <c r="S49" s="256">
        <f t="shared" si="34"/>
        <v>554</v>
      </c>
      <c r="T49" s="261">
        <f t="shared" si="28"/>
        <v>0.1479961484358619</v>
      </c>
      <c r="U49" s="256">
        <v>59</v>
      </c>
      <c r="V49" s="256">
        <v>162</v>
      </c>
      <c r="W49" s="256">
        <v>23</v>
      </c>
      <c r="X49" s="256">
        <v>46</v>
      </c>
      <c r="Y49" s="256">
        <v>51</v>
      </c>
      <c r="Z49" s="256">
        <v>153</v>
      </c>
      <c r="AA49" s="256">
        <v>35</v>
      </c>
      <c r="AB49" s="256">
        <v>137</v>
      </c>
      <c r="AC49" s="256">
        <v>11</v>
      </c>
      <c r="AD49" s="256">
        <v>33</v>
      </c>
      <c r="AE49" s="256">
        <f t="shared" si="40"/>
        <v>179</v>
      </c>
      <c r="AF49" s="256">
        <f t="shared" si="40"/>
        <v>531</v>
      </c>
      <c r="AG49" s="261">
        <f t="shared" si="30"/>
        <v>0.14453544070077295</v>
      </c>
      <c r="AH49" s="256">
        <v>219</v>
      </c>
      <c r="AI49" s="256">
        <v>39</v>
      </c>
      <c r="AJ49" s="256">
        <v>39</v>
      </c>
      <c r="AK49" s="256">
        <v>31</v>
      </c>
      <c r="AL49" s="256">
        <v>8</v>
      </c>
      <c r="AM49" s="256">
        <f t="shared" si="31"/>
        <v>336</v>
      </c>
      <c r="AN49" s="261">
        <f t="shared" si="32"/>
        <v>6.8399870528816492E-2</v>
      </c>
      <c r="AO49" s="256">
        <v>84</v>
      </c>
      <c r="AP49" s="256">
        <v>21</v>
      </c>
      <c r="AQ49" s="256">
        <v>19</v>
      </c>
      <c r="AR49" s="256">
        <v>21</v>
      </c>
      <c r="AS49" s="256">
        <v>14</v>
      </c>
      <c r="AT49" s="256">
        <f t="shared" si="38"/>
        <v>159</v>
      </c>
      <c r="AU49" s="263">
        <v>12</v>
      </c>
      <c r="AV49" s="263">
        <v>3</v>
      </c>
      <c r="AW49" s="263">
        <v>6</v>
      </c>
      <c r="AX49" s="263">
        <v>21</v>
      </c>
      <c r="AY49" s="263">
        <v>4</v>
      </c>
      <c r="AZ49" s="256">
        <f t="shared" si="39"/>
        <v>46</v>
      </c>
      <c r="BA49" s="263">
        <v>614</v>
      </c>
      <c r="BB49" s="263">
        <v>215</v>
      </c>
      <c r="BC49" s="263">
        <v>571</v>
      </c>
      <c r="BD49" s="263">
        <v>457</v>
      </c>
      <c r="BE49" s="263">
        <v>569</v>
      </c>
      <c r="BF49" s="256">
        <f t="shared" si="37"/>
        <v>2426</v>
      </c>
      <c r="BG49" s="252"/>
      <c r="BH49" s="265"/>
      <c r="BI49" s="266"/>
      <c r="BJ49" s="254"/>
      <c r="BK49" s="254"/>
    </row>
    <row r="50" spans="1:63" s="240" customFormat="1" ht="16.2" thickBot="1" x14ac:dyDescent="0.4">
      <c r="A50" s="295" t="s">
        <v>21</v>
      </c>
      <c r="B50" s="274">
        <f t="shared" ref="B50:H50" si="41">SUM(B32:B49)</f>
        <v>116676</v>
      </c>
      <c r="C50" s="274">
        <f t="shared" si="41"/>
        <v>79501</v>
      </c>
      <c r="D50" s="274">
        <f t="shared" si="41"/>
        <v>167872</v>
      </c>
      <c r="E50" s="274">
        <f t="shared" si="41"/>
        <v>152216</v>
      </c>
      <c r="F50" s="275">
        <f t="shared" si="41"/>
        <v>95515</v>
      </c>
      <c r="G50" s="272">
        <f t="shared" si="41"/>
        <v>611780</v>
      </c>
      <c r="H50" s="273">
        <f t="shared" si="41"/>
        <v>56</v>
      </c>
      <c r="I50" s="274">
        <f t="shared" ref="I50:Q50" si="42">SUM(I32:I49)</f>
        <v>159</v>
      </c>
      <c r="J50" s="274">
        <f t="shared" si="42"/>
        <v>44</v>
      </c>
      <c r="K50" s="274">
        <f t="shared" si="42"/>
        <v>70</v>
      </c>
      <c r="L50" s="274">
        <f t="shared" si="42"/>
        <v>104</v>
      </c>
      <c r="M50" s="274">
        <f t="shared" si="42"/>
        <v>311</v>
      </c>
      <c r="N50" s="274">
        <f t="shared" si="42"/>
        <v>69</v>
      </c>
      <c r="O50" s="274">
        <f t="shared" si="42"/>
        <v>188</v>
      </c>
      <c r="P50" s="274">
        <f t="shared" si="42"/>
        <v>24</v>
      </c>
      <c r="Q50" s="274">
        <f t="shared" si="42"/>
        <v>68</v>
      </c>
      <c r="R50" s="276">
        <f>SUM(R32:R49)</f>
        <v>297</v>
      </c>
      <c r="S50" s="276">
        <f>SUM(S32:S49)</f>
        <v>796</v>
      </c>
      <c r="T50" s="278">
        <f t="shared" si="28"/>
        <v>0.17865899506358496</v>
      </c>
      <c r="U50" s="274">
        <f>SUM(U32:U49)</f>
        <v>80</v>
      </c>
      <c r="V50" s="274">
        <f t="shared" ref="V50:AD50" si="43">SUM(V32:V49)</f>
        <v>216</v>
      </c>
      <c r="W50" s="274">
        <f t="shared" si="43"/>
        <v>40</v>
      </c>
      <c r="X50" s="274">
        <f t="shared" si="43"/>
        <v>76</v>
      </c>
      <c r="Y50" s="274">
        <f t="shared" si="43"/>
        <v>101</v>
      </c>
      <c r="Z50" s="274">
        <f t="shared" si="43"/>
        <v>235</v>
      </c>
      <c r="AA50" s="274">
        <f t="shared" si="43"/>
        <v>60</v>
      </c>
      <c r="AB50" s="274">
        <f t="shared" si="43"/>
        <v>190</v>
      </c>
      <c r="AC50" s="274">
        <f t="shared" si="43"/>
        <v>23</v>
      </c>
      <c r="AD50" s="274">
        <f t="shared" si="43"/>
        <v>48</v>
      </c>
      <c r="AE50" s="276">
        <f>SUM(AE32:AE49)</f>
        <v>304</v>
      </c>
      <c r="AF50" s="276">
        <f>SUM(AF32:AF49)</f>
        <v>765</v>
      </c>
      <c r="AG50" s="278">
        <f t="shared" si="30"/>
        <v>0.17473601621497925</v>
      </c>
      <c r="AH50" s="274">
        <f t="shared" ref="AH50:AM50" si="44">SUM(AH32:AH49)</f>
        <v>284</v>
      </c>
      <c r="AI50" s="274">
        <f t="shared" si="44"/>
        <v>50</v>
      </c>
      <c r="AJ50" s="274">
        <f t="shared" si="44"/>
        <v>123</v>
      </c>
      <c r="AK50" s="274">
        <f t="shared" si="44"/>
        <v>44</v>
      </c>
      <c r="AL50" s="274">
        <f t="shared" si="44"/>
        <v>11</v>
      </c>
      <c r="AM50" s="276">
        <f t="shared" si="44"/>
        <v>512</v>
      </c>
      <c r="AN50" s="278">
        <f t="shared" si="32"/>
        <v>8.3690215436921775E-2</v>
      </c>
      <c r="AO50" s="274">
        <f t="shared" ref="AO50:BF50" si="45">SUM(AO32:AO49)</f>
        <v>114</v>
      </c>
      <c r="AP50" s="274">
        <f t="shared" si="45"/>
        <v>33</v>
      </c>
      <c r="AQ50" s="274">
        <f t="shared" si="45"/>
        <v>33</v>
      </c>
      <c r="AR50" s="274">
        <f t="shared" si="45"/>
        <v>34</v>
      </c>
      <c r="AS50" s="274">
        <f t="shared" si="45"/>
        <v>26</v>
      </c>
      <c r="AT50" s="281">
        <f t="shared" si="45"/>
        <v>240</v>
      </c>
      <c r="AU50" s="274">
        <f t="shared" si="45"/>
        <v>15</v>
      </c>
      <c r="AV50" s="274">
        <f t="shared" si="45"/>
        <v>3</v>
      </c>
      <c r="AW50" s="274">
        <f t="shared" si="45"/>
        <v>10</v>
      </c>
      <c r="AX50" s="274">
        <f t="shared" si="45"/>
        <v>25</v>
      </c>
      <c r="AY50" s="274">
        <f t="shared" si="45"/>
        <v>5</v>
      </c>
      <c r="AZ50" s="281">
        <f t="shared" si="45"/>
        <v>58</v>
      </c>
      <c r="BA50" s="274">
        <f t="shared" si="45"/>
        <v>783</v>
      </c>
      <c r="BB50" s="274">
        <f t="shared" si="45"/>
        <v>290</v>
      </c>
      <c r="BC50" s="274">
        <f t="shared" si="45"/>
        <v>855</v>
      </c>
      <c r="BD50" s="274">
        <f t="shared" si="45"/>
        <v>598</v>
      </c>
      <c r="BE50" s="274">
        <f t="shared" si="45"/>
        <v>685</v>
      </c>
      <c r="BF50" s="298">
        <f t="shared" si="45"/>
        <v>3211</v>
      </c>
      <c r="BG50" s="252"/>
      <c r="BH50" s="265"/>
      <c r="BI50" s="266"/>
      <c r="BJ50" s="252"/>
      <c r="BK50" s="252"/>
    </row>
    <row r="51" spans="1:63" s="240" customFormat="1" ht="16.2" thickBot="1" x14ac:dyDescent="0.4">
      <c r="A51" s="282" t="s">
        <v>171</v>
      </c>
      <c r="B51" s="284"/>
      <c r="C51" s="284"/>
      <c r="D51" s="284"/>
      <c r="E51" s="283"/>
      <c r="F51" s="283"/>
      <c r="G51" s="283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78">
        <f>R50/$G$50*100</f>
        <v>4.8546863251495632E-2</v>
      </c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278">
        <f>AE50/$G$50*100</f>
        <v>4.9691065415672295E-2</v>
      </c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252"/>
      <c r="BH51" s="265"/>
      <c r="BI51" s="266"/>
      <c r="BJ51" s="252"/>
      <c r="BK51" s="252"/>
    </row>
    <row r="52" spans="1:63" ht="15.6" x14ac:dyDescent="0.35">
      <c r="A52" s="247"/>
      <c r="B52" s="291"/>
      <c r="C52" s="291"/>
      <c r="D52" s="291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52"/>
      <c r="BH52" s="265"/>
      <c r="BI52" s="266"/>
      <c r="BJ52" s="254"/>
      <c r="BK52" s="254"/>
    </row>
    <row r="53" spans="1:63" ht="16.2" thickBot="1" x14ac:dyDescent="0.4">
      <c r="A53" s="247" t="s">
        <v>28</v>
      </c>
      <c r="B53" s="291"/>
      <c r="C53" s="291"/>
      <c r="D53" s="291"/>
      <c r="E53" s="291"/>
      <c r="F53" s="291"/>
      <c r="G53" s="284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52"/>
      <c r="BH53" s="265"/>
      <c r="BI53" s="266"/>
      <c r="BJ53" s="254"/>
      <c r="BK53" s="254"/>
    </row>
    <row r="54" spans="1:63" ht="16.2" thickBot="1" x14ac:dyDescent="0.4">
      <c r="A54" s="255" t="s">
        <v>40</v>
      </c>
      <c r="B54" s="256">
        <v>448</v>
      </c>
      <c r="C54" s="256">
        <v>173</v>
      </c>
      <c r="D54" s="292">
        <v>1360</v>
      </c>
      <c r="E54" s="256">
        <v>361</v>
      </c>
      <c r="F54" s="258">
        <v>205</v>
      </c>
      <c r="G54" s="259">
        <f>SUM(B54:F54)</f>
        <v>2547</v>
      </c>
      <c r="H54" s="260">
        <v>1</v>
      </c>
      <c r="I54" s="256">
        <v>2</v>
      </c>
      <c r="J54" s="256">
        <v>1</v>
      </c>
      <c r="K54" s="256">
        <v>1</v>
      </c>
      <c r="L54" s="256">
        <v>7</v>
      </c>
      <c r="M54" s="256">
        <v>2</v>
      </c>
      <c r="N54" s="256">
        <v>0</v>
      </c>
      <c r="O54" s="256">
        <v>0</v>
      </c>
      <c r="P54" s="299">
        <v>0</v>
      </c>
      <c r="Q54" s="299">
        <v>1</v>
      </c>
      <c r="R54" s="256">
        <f t="shared" ref="R54:S55" si="46">H54+J54+L54+N54+P54</f>
        <v>9</v>
      </c>
      <c r="S54" s="256">
        <f t="shared" si="46"/>
        <v>6</v>
      </c>
      <c r="T54" s="261">
        <f>(R54+S54)*100/G54</f>
        <v>0.58892815076560656</v>
      </c>
      <c r="U54" s="256">
        <v>0</v>
      </c>
      <c r="V54" s="256">
        <v>0</v>
      </c>
      <c r="W54" s="256">
        <v>0</v>
      </c>
      <c r="X54" s="256">
        <v>0</v>
      </c>
      <c r="Y54" s="256">
        <v>2</v>
      </c>
      <c r="Z54" s="256">
        <v>1</v>
      </c>
      <c r="AA54" s="256">
        <v>0</v>
      </c>
      <c r="AB54" s="256">
        <v>1</v>
      </c>
      <c r="AC54" s="256">
        <v>0</v>
      </c>
      <c r="AD54" s="256">
        <v>1</v>
      </c>
      <c r="AE54" s="256">
        <f t="shared" ref="AE54:AF55" si="47">U54+W54+Y54+AA54+AC54</f>
        <v>2</v>
      </c>
      <c r="AF54" s="256">
        <f t="shared" si="47"/>
        <v>3</v>
      </c>
      <c r="AG54" s="261">
        <f>(AE54+AF54)*100/G54</f>
        <v>0.19630938358853553</v>
      </c>
      <c r="AH54" s="300">
        <v>0</v>
      </c>
      <c r="AI54" s="300">
        <v>0</v>
      </c>
      <c r="AJ54" s="300">
        <v>0</v>
      </c>
      <c r="AK54" s="300">
        <v>0</v>
      </c>
      <c r="AL54" s="300">
        <v>0</v>
      </c>
      <c r="AM54" s="263">
        <f>SUM(AH54:AL54)</f>
        <v>0</v>
      </c>
      <c r="AN54" s="261">
        <f>AM54*100/G54</f>
        <v>0</v>
      </c>
      <c r="AO54" s="263">
        <v>1</v>
      </c>
      <c r="AP54" s="263">
        <v>0</v>
      </c>
      <c r="AQ54" s="263">
        <v>2</v>
      </c>
      <c r="AR54" s="263">
        <v>0</v>
      </c>
      <c r="AS54" s="263">
        <v>0</v>
      </c>
      <c r="AT54" s="256">
        <f>SUM(AO54:AS54)</f>
        <v>3</v>
      </c>
      <c r="AU54" s="263">
        <v>0</v>
      </c>
      <c r="AV54" s="263">
        <v>0</v>
      </c>
      <c r="AW54" s="263">
        <v>0</v>
      </c>
      <c r="AX54" s="263">
        <v>0</v>
      </c>
      <c r="AY54" s="263">
        <v>0</v>
      </c>
      <c r="AZ54" s="256">
        <f>SUM(AU54:AY54)</f>
        <v>0</v>
      </c>
      <c r="BA54" s="263">
        <v>2</v>
      </c>
      <c r="BB54" s="263">
        <v>1</v>
      </c>
      <c r="BC54" s="263">
        <v>1</v>
      </c>
      <c r="BD54" s="263">
        <v>0</v>
      </c>
      <c r="BE54" s="263">
        <v>0</v>
      </c>
      <c r="BF54" s="256">
        <f>SUM(BA54:BE54)</f>
        <v>4</v>
      </c>
      <c r="BG54" s="252"/>
      <c r="BH54" s="265"/>
      <c r="BI54" s="266"/>
      <c r="BJ54" s="254"/>
      <c r="BK54" s="254"/>
    </row>
    <row r="55" spans="1:63" ht="16.2" thickBot="1" x14ac:dyDescent="0.4">
      <c r="A55" s="255" t="s">
        <v>27</v>
      </c>
      <c r="B55" s="256">
        <v>103693</v>
      </c>
      <c r="C55" s="256">
        <v>44858</v>
      </c>
      <c r="D55" s="292">
        <v>49654</v>
      </c>
      <c r="E55" s="256">
        <v>74560</v>
      </c>
      <c r="F55" s="258">
        <v>71612</v>
      </c>
      <c r="G55" s="259">
        <f>SUM(B55:F55)</f>
        <v>344377</v>
      </c>
      <c r="H55" s="260">
        <v>4</v>
      </c>
      <c r="I55" s="256">
        <v>37</v>
      </c>
      <c r="J55" s="256">
        <v>1</v>
      </c>
      <c r="K55" s="256">
        <v>11</v>
      </c>
      <c r="L55" s="256">
        <v>8</v>
      </c>
      <c r="M55" s="256">
        <v>59</v>
      </c>
      <c r="N55" s="256">
        <v>7</v>
      </c>
      <c r="O55" s="256">
        <v>57</v>
      </c>
      <c r="P55" s="256">
        <v>0</v>
      </c>
      <c r="Q55" s="256">
        <v>9</v>
      </c>
      <c r="R55" s="256">
        <f t="shared" si="46"/>
        <v>20</v>
      </c>
      <c r="S55" s="256">
        <f t="shared" si="46"/>
        <v>173</v>
      </c>
      <c r="T55" s="261">
        <f>(R55+S55)*100/G55</f>
        <v>5.6043231690850431E-2</v>
      </c>
      <c r="U55" s="256">
        <v>5</v>
      </c>
      <c r="V55" s="256">
        <v>24</v>
      </c>
      <c r="W55" s="256">
        <v>0</v>
      </c>
      <c r="X55" s="256">
        <v>11</v>
      </c>
      <c r="Y55" s="256">
        <v>6</v>
      </c>
      <c r="Z55" s="256">
        <v>25</v>
      </c>
      <c r="AA55" s="256">
        <v>4</v>
      </c>
      <c r="AB55" s="256">
        <v>17</v>
      </c>
      <c r="AC55" s="256">
        <v>2</v>
      </c>
      <c r="AD55" s="256">
        <v>1</v>
      </c>
      <c r="AE55" s="256">
        <f t="shared" si="47"/>
        <v>17</v>
      </c>
      <c r="AF55" s="256">
        <f t="shared" si="47"/>
        <v>78</v>
      </c>
      <c r="AG55" s="261">
        <f>(AE55+AF55)*100/G55</f>
        <v>2.7586046687206173E-2</v>
      </c>
      <c r="AH55" s="292">
        <v>27</v>
      </c>
      <c r="AI55" s="292">
        <v>4</v>
      </c>
      <c r="AJ55" s="263">
        <v>21</v>
      </c>
      <c r="AK55" s="263">
        <v>2</v>
      </c>
      <c r="AL55" s="263">
        <v>2</v>
      </c>
      <c r="AM55" s="256">
        <f>SUM(AH55:AL55)</f>
        <v>56</v>
      </c>
      <c r="AN55" s="261">
        <f>AM55*100/G55</f>
        <v>1.6261248573511008E-2</v>
      </c>
      <c r="AO55" s="292">
        <v>2</v>
      </c>
      <c r="AP55" s="292">
        <v>0</v>
      </c>
      <c r="AQ55" s="263">
        <v>2</v>
      </c>
      <c r="AR55" s="263">
        <v>0</v>
      </c>
      <c r="AS55" s="263">
        <v>0</v>
      </c>
      <c r="AT55" s="256">
        <f>SUM(AO55:AS55)</f>
        <v>4</v>
      </c>
      <c r="AU55" s="263">
        <v>7</v>
      </c>
      <c r="AV55" s="263">
        <v>0</v>
      </c>
      <c r="AW55" s="263">
        <v>0</v>
      </c>
      <c r="AX55" s="263">
        <v>1</v>
      </c>
      <c r="AY55" s="263">
        <v>0</v>
      </c>
      <c r="AZ55" s="256">
        <f>SUM(AU55:AY55)</f>
        <v>8</v>
      </c>
      <c r="BA55" s="263">
        <v>51</v>
      </c>
      <c r="BB55" s="263">
        <v>23</v>
      </c>
      <c r="BC55" s="263">
        <v>93</v>
      </c>
      <c r="BD55" s="263">
        <v>44</v>
      </c>
      <c r="BE55" s="263">
        <v>14</v>
      </c>
      <c r="BF55" s="256">
        <f>SUM(BA55:BE55)</f>
        <v>225</v>
      </c>
      <c r="BG55" s="252"/>
      <c r="BH55" s="265"/>
      <c r="BI55" s="266"/>
      <c r="BJ55" s="254"/>
      <c r="BK55" s="254"/>
    </row>
    <row r="56" spans="1:63" s="240" customFormat="1" ht="16.2" thickBot="1" x14ac:dyDescent="0.4">
      <c r="A56" s="295" t="s">
        <v>21</v>
      </c>
      <c r="B56" s="274">
        <f t="shared" ref="B56:G56" si="48">SUM(B54:B55)</f>
        <v>104141</v>
      </c>
      <c r="C56" s="274">
        <f t="shared" si="48"/>
        <v>45031</v>
      </c>
      <c r="D56" s="274">
        <f t="shared" si="48"/>
        <v>51014</v>
      </c>
      <c r="E56" s="274">
        <f t="shared" si="48"/>
        <v>74921</v>
      </c>
      <c r="F56" s="275">
        <f t="shared" si="48"/>
        <v>71817</v>
      </c>
      <c r="G56" s="272">
        <f t="shared" si="48"/>
        <v>346924</v>
      </c>
      <c r="H56" s="301">
        <f>SUM(H54:H55)</f>
        <v>5</v>
      </c>
      <c r="I56" s="301">
        <f>SUM(I54:I55)</f>
        <v>39</v>
      </c>
      <c r="J56" s="302">
        <f t="shared" ref="J56:S56" si="49">SUM(J54:J55)</f>
        <v>2</v>
      </c>
      <c r="K56" s="302">
        <f t="shared" si="49"/>
        <v>12</v>
      </c>
      <c r="L56" s="302">
        <f t="shared" si="49"/>
        <v>15</v>
      </c>
      <c r="M56" s="302">
        <f t="shared" si="49"/>
        <v>61</v>
      </c>
      <c r="N56" s="302">
        <f t="shared" si="49"/>
        <v>7</v>
      </c>
      <c r="O56" s="302">
        <f t="shared" si="49"/>
        <v>57</v>
      </c>
      <c r="P56" s="302">
        <f t="shared" si="49"/>
        <v>0</v>
      </c>
      <c r="Q56" s="302">
        <f t="shared" si="49"/>
        <v>10</v>
      </c>
      <c r="R56" s="276">
        <f t="shared" si="49"/>
        <v>29</v>
      </c>
      <c r="S56" s="276">
        <f t="shared" si="49"/>
        <v>179</v>
      </c>
      <c r="T56" s="278">
        <f>(R56+S56)*100/G56</f>
        <v>5.9955494575180734E-2</v>
      </c>
      <c r="U56" s="302">
        <f t="shared" ref="U56:AF56" si="50">SUM(U54:U55)</f>
        <v>5</v>
      </c>
      <c r="V56" s="302">
        <f t="shared" si="50"/>
        <v>24</v>
      </c>
      <c r="W56" s="302">
        <f t="shared" si="50"/>
        <v>0</v>
      </c>
      <c r="X56" s="302">
        <f t="shared" si="50"/>
        <v>11</v>
      </c>
      <c r="Y56" s="302">
        <f t="shared" si="50"/>
        <v>8</v>
      </c>
      <c r="Z56" s="302">
        <f t="shared" si="50"/>
        <v>26</v>
      </c>
      <c r="AA56" s="302">
        <f t="shared" si="50"/>
        <v>4</v>
      </c>
      <c r="AB56" s="302">
        <f t="shared" si="50"/>
        <v>18</v>
      </c>
      <c r="AC56" s="302">
        <f t="shared" si="50"/>
        <v>2</v>
      </c>
      <c r="AD56" s="302">
        <f t="shared" si="50"/>
        <v>2</v>
      </c>
      <c r="AE56" s="276">
        <f t="shared" si="50"/>
        <v>19</v>
      </c>
      <c r="AF56" s="276">
        <f t="shared" si="50"/>
        <v>81</v>
      </c>
      <c r="AG56" s="278">
        <f>(AE56+AF56)*100/G56</f>
        <v>2.8824757007298429E-2</v>
      </c>
      <c r="AH56" s="302">
        <f t="shared" ref="AH56:AT56" si="51">SUM(AH54:AH55)</f>
        <v>27</v>
      </c>
      <c r="AI56" s="302">
        <f t="shared" si="51"/>
        <v>4</v>
      </c>
      <c r="AJ56" s="302">
        <f t="shared" si="51"/>
        <v>21</v>
      </c>
      <c r="AK56" s="302">
        <f t="shared" si="51"/>
        <v>2</v>
      </c>
      <c r="AL56" s="302">
        <f t="shared" si="51"/>
        <v>2</v>
      </c>
      <c r="AM56" s="276">
        <f t="shared" si="51"/>
        <v>56</v>
      </c>
      <c r="AN56" s="278">
        <f t="shared" si="51"/>
        <v>1.6261248573511008E-2</v>
      </c>
      <c r="AO56" s="302">
        <f t="shared" si="51"/>
        <v>3</v>
      </c>
      <c r="AP56" s="302">
        <f>SUM(AP54:AP55)</f>
        <v>0</v>
      </c>
      <c r="AQ56" s="302">
        <f t="shared" si="51"/>
        <v>4</v>
      </c>
      <c r="AR56" s="302">
        <f t="shared" si="51"/>
        <v>0</v>
      </c>
      <c r="AS56" s="302">
        <f t="shared" si="51"/>
        <v>0</v>
      </c>
      <c r="AT56" s="281">
        <f t="shared" si="51"/>
        <v>7</v>
      </c>
      <c r="AU56" s="274">
        <f t="shared" ref="AU56:BF56" si="52">SUM(AU54:AU55)</f>
        <v>7</v>
      </c>
      <c r="AV56" s="274">
        <f t="shared" si="52"/>
        <v>0</v>
      </c>
      <c r="AW56" s="274">
        <f t="shared" si="52"/>
        <v>0</v>
      </c>
      <c r="AX56" s="274">
        <f>SUM(AX54:AX55)</f>
        <v>1</v>
      </c>
      <c r="AY56" s="274">
        <f t="shared" si="52"/>
        <v>0</v>
      </c>
      <c r="AZ56" s="281">
        <f t="shared" si="52"/>
        <v>8</v>
      </c>
      <c r="BA56" s="302">
        <f t="shared" si="52"/>
        <v>53</v>
      </c>
      <c r="BB56" s="302">
        <f t="shared" si="52"/>
        <v>24</v>
      </c>
      <c r="BC56" s="302">
        <f t="shared" si="52"/>
        <v>94</v>
      </c>
      <c r="BD56" s="302">
        <f t="shared" si="52"/>
        <v>44</v>
      </c>
      <c r="BE56" s="302">
        <f t="shared" si="52"/>
        <v>14</v>
      </c>
      <c r="BF56" s="281">
        <f t="shared" si="52"/>
        <v>229</v>
      </c>
      <c r="BG56" s="252"/>
      <c r="BH56" s="265"/>
      <c r="BI56" s="266"/>
      <c r="BJ56" s="252"/>
      <c r="BK56" s="252"/>
    </row>
    <row r="57" spans="1:63" s="240" customFormat="1" ht="16.2" thickBot="1" x14ac:dyDescent="0.4">
      <c r="A57" s="282" t="s">
        <v>171</v>
      </c>
      <c r="B57" s="283"/>
      <c r="C57" s="283"/>
      <c r="D57" s="283"/>
      <c r="E57" s="283"/>
      <c r="F57" s="283"/>
      <c r="G57" s="283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78">
        <f>R56/$G$56*100</f>
        <v>8.3591795321165448E-3</v>
      </c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278">
        <f>AE56/$G$56*100</f>
        <v>5.4767038313867011E-3</v>
      </c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252"/>
      <c r="BH57" s="265"/>
      <c r="BI57" s="266"/>
      <c r="BJ57" s="252"/>
      <c r="BK57" s="252"/>
    </row>
    <row r="58" spans="1:63" s="240" customFormat="1" ht="16.2" thickBot="1" x14ac:dyDescent="0.4">
      <c r="A58" s="247"/>
      <c r="B58" s="291"/>
      <c r="C58" s="291"/>
      <c r="D58" s="291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52"/>
      <c r="BH58" s="265"/>
      <c r="BI58" s="266"/>
      <c r="BJ58" s="252"/>
      <c r="BK58" s="252"/>
    </row>
    <row r="59" spans="1:63" s="311" customFormat="1" ht="18" thickBot="1" x14ac:dyDescent="0.45">
      <c r="A59" s="303" t="s">
        <v>48</v>
      </c>
      <c r="B59" s="304">
        <f t="shared" ref="B59:G59" si="53">B13+B28+B50+B56</f>
        <v>223574</v>
      </c>
      <c r="C59" s="305">
        <f t="shared" si="53"/>
        <v>125921</v>
      </c>
      <c r="D59" s="304">
        <f t="shared" si="53"/>
        <v>223017</v>
      </c>
      <c r="E59" s="304">
        <f t="shared" si="53"/>
        <v>231057</v>
      </c>
      <c r="F59" s="306">
        <f t="shared" si="53"/>
        <v>168895</v>
      </c>
      <c r="G59" s="307">
        <f t="shared" si="53"/>
        <v>972464</v>
      </c>
      <c r="H59" s="308">
        <f t="shared" ref="H59:S59" si="54">H13+H28+H50+H56</f>
        <v>63</v>
      </c>
      <c r="I59" s="307">
        <f t="shared" si="54"/>
        <v>201</v>
      </c>
      <c r="J59" s="307">
        <f t="shared" si="54"/>
        <v>46</v>
      </c>
      <c r="K59" s="307">
        <f t="shared" si="54"/>
        <v>93</v>
      </c>
      <c r="L59" s="307">
        <f t="shared" si="54"/>
        <v>134</v>
      </c>
      <c r="M59" s="307">
        <f t="shared" si="54"/>
        <v>385</v>
      </c>
      <c r="N59" s="307">
        <f t="shared" si="54"/>
        <v>81</v>
      </c>
      <c r="O59" s="307">
        <f t="shared" si="54"/>
        <v>249</v>
      </c>
      <c r="P59" s="307">
        <f t="shared" si="54"/>
        <v>25</v>
      </c>
      <c r="Q59" s="307">
        <f t="shared" si="54"/>
        <v>79</v>
      </c>
      <c r="R59" s="307">
        <f t="shared" si="54"/>
        <v>349</v>
      </c>
      <c r="S59" s="307">
        <f t="shared" si="54"/>
        <v>1007</v>
      </c>
      <c r="T59" s="309">
        <f>R59*100/G59</f>
        <v>3.5888217970022541E-2</v>
      </c>
      <c r="U59" s="307">
        <f t="shared" ref="U59:AF59" si="55">U13+U28+U50+U56</f>
        <v>86</v>
      </c>
      <c r="V59" s="307">
        <f t="shared" si="55"/>
        <v>247</v>
      </c>
      <c r="W59" s="307">
        <f t="shared" si="55"/>
        <v>45</v>
      </c>
      <c r="X59" s="307">
        <f t="shared" si="55"/>
        <v>99</v>
      </c>
      <c r="Y59" s="307">
        <f t="shared" si="55"/>
        <v>116</v>
      </c>
      <c r="Z59" s="307">
        <f t="shared" si="55"/>
        <v>277</v>
      </c>
      <c r="AA59" s="307">
        <f t="shared" si="55"/>
        <v>69</v>
      </c>
      <c r="AB59" s="307">
        <f t="shared" si="55"/>
        <v>220</v>
      </c>
      <c r="AC59" s="307">
        <f t="shared" si="55"/>
        <v>25</v>
      </c>
      <c r="AD59" s="307">
        <f t="shared" si="55"/>
        <v>50</v>
      </c>
      <c r="AE59" s="307">
        <f t="shared" si="55"/>
        <v>341</v>
      </c>
      <c r="AF59" s="307">
        <f t="shared" si="55"/>
        <v>893</v>
      </c>
      <c r="AG59" s="309">
        <f>AE59*100/G59</f>
        <v>3.5065565409105118E-2</v>
      </c>
      <c r="AH59" s="307">
        <f t="shared" ref="AH59:AM59" si="56">AH13+AH28+AH50+AH56</f>
        <v>324</v>
      </c>
      <c r="AI59" s="307">
        <f t="shared" si="56"/>
        <v>56</v>
      </c>
      <c r="AJ59" s="307">
        <f t="shared" si="56"/>
        <v>148</v>
      </c>
      <c r="AK59" s="307">
        <f t="shared" si="56"/>
        <v>49</v>
      </c>
      <c r="AL59" s="307">
        <f t="shared" si="56"/>
        <v>15</v>
      </c>
      <c r="AM59" s="307">
        <f t="shared" si="56"/>
        <v>592</v>
      </c>
      <c r="AN59" s="309">
        <f>AM59*100/G59</f>
        <v>6.0876289507889238E-2</v>
      </c>
      <c r="AO59" s="307">
        <f t="shared" ref="AO59:AT59" si="57">AO13+AO28+AO50+AO56</f>
        <v>125</v>
      </c>
      <c r="AP59" s="307">
        <f t="shared" si="57"/>
        <v>42</v>
      </c>
      <c r="AQ59" s="307">
        <f t="shared" si="57"/>
        <v>41</v>
      </c>
      <c r="AR59" s="307">
        <f t="shared" si="57"/>
        <v>38</v>
      </c>
      <c r="AS59" s="307">
        <f t="shared" si="57"/>
        <v>26</v>
      </c>
      <c r="AT59" s="307">
        <f t="shared" si="57"/>
        <v>272</v>
      </c>
      <c r="AU59" s="307">
        <f t="shared" ref="AU59:BF59" si="58">AU13+AU28+AU50+AU56</f>
        <v>23</v>
      </c>
      <c r="AV59" s="307">
        <f t="shared" si="58"/>
        <v>3</v>
      </c>
      <c r="AW59" s="307">
        <f t="shared" si="58"/>
        <v>16</v>
      </c>
      <c r="AX59" s="307">
        <f t="shared" si="58"/>
        <v>31</v>
      </c>
      <c r="AY59" s="307">
        <f t="shared" si="58"/>
        <v>6</v>
      </c>
      <c r="AZ59" s="307">
        <f t="shared" si="58"/>
        <v>79</v>
      </c>
      <c r="BA59" s="307">
        <f t="shared" si="58"/>
        <v>897</v>
      </c>
      <c r="BB59" s="307">
        <f t="shared" si="58"/>
        <v>358</v>
      </c>
      <c r="BC59" s="307">
        <f t="shared" si="58"/>
        <v>994</v>
      </c>
      <c r="BD59" s="307">
        <f t="shared" si="58"/>
        <v>676</v>
      </c>
      <c r="BE59" s="307">
        <f t="shared" si="58"/>
        <v>713</v>
      </c>
      <c r="BF59" s="307">
        <f t="shared" si="58"/>
        <v>3638</v>
      </c>
      <c r="BG59" s="310"/>
      <c r="BH59" s="265"/>
      <c r="BI59" s="266"/>
      <c r="BJ59" s="310"/>
      <c r="BK59" s="310"/>
    </row>
    <row r="60" spans="1:63" s="240" customFormat="1" ht="16.2" thickBot="1" x14ac:dyDescent="0.4">
      <c r="A60" s="282" t="s">
        <v>171</v>
      </c>
      <c r="B60" s="283"/>
      <c r="C60" s="283"/>
      <c r="D60" s="283"/>
      <c r="E60" s="283"/>
      <c r="F60" s="283"/>
      <c r="G60" s="283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78">
        <f>R59/$G$59*100</f>
        <v>3.5888217970022541E-2</v>
      </c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278">
        <f>AE59/$G$59*100</f>
        <v>3.5065565409105118E-2</v>
      </c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252"/>
      <c r="BH60" s="265"/>
      <c r="BI60" s="266"/>
      <c r="BJ60" s="252"/>
      <c r="BK60" s="252"/>
    </row>
    <row r="61" spans="1:63" x14ac:dyDescent="0.35">
      <c r="BG61" s="252"/>
      <c r="BH61" s="254"/>
      <c r="BI61" s="254"/>
      <c r="BJ61" s="254"/>
      <c r="BK61" s="254"/>
    </row>
    <row r="62" spans="1:63" x14ac:dyDescent="0.35">
      <c r="BG62" s="252"/>
      <c r="BH62" s="254"/>
      <c r="BI62" s="254"/>
      <c r="BJ62" s="254"/>
      <c r="BK62" s="254"/>
    </row>
  </sheetData>
  <mergeCells count="54">
    <mergeCell ref="BF4:BF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AT4:AT5"/>
    <mergeCell ref="AH4:AH5"/>
    <mergeCell ref="AI4:AI5"/>
    <mergeCell ref="AJ4:AJ5"/>
    <mergeCell ref="AK4:AK5"/>
    <mergeCell ref="AL4:AL5"/>
    <mergeCell ref="AM4:AM5"/>
    <mergeCell ref="AO4:AO5"/>
    <mergeCell ref="AP4:AP5"/>
    <mergeCell ref="AQ4:AQ5"/>
    <mergeCell ref="AR4:AR5"/>
    <mergeCell ref="AS4:AS5"/>
    <mergeCell ref="F4:F5"/>
    <mergeCell ref="G4:G5"/>
    <mergeCell ref="AE4:AF4"/>
    <mergeCell ref="H4:I4"/>
    <mergeCell ref="J4:K4"/>
    <mergeCell ref="L4:M4"/>
    <mergeCell ref="N4:O4"/>
    <mergeCell ref="P4:Q4"/>
    <mergeCell ref="R4:S4"/>
    <mergeCell ref="U4:V4"/>
    <mergeCell ref="W4:X4"/>
    <mergeCell ref="Y4:Z4"/>
    <mergeCell ref="AA4:AB4"/>
    <mergeCell ref="AC4:AD4"/>
    <mergeCell ref="A1:BF1"/>
    <mergeCell ref="A3:A5"/>
    <mergeCell ref="B3:G3"/>
    <mergeCell ref="H3:S3"/>
    <mergeCell ref="T3:T5"/>
    <mergeCell ref="U3:AF3"/>
    <mergeCell ref="AG3:AG5"/>
    <mergeCell ref="AH3:AM3"/>
    <mergeCell ref="AN3:AN5"/>
    <mergeCell ref="AO3:AT3"/>
    <mergeCell ref="AU3:AZ3"/>
    <mergeCell ref="BA3:BF3"/>
    <mergeCell ref="B4:B5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B1:AC58"/>
  <sheetViews>
    <sheetView showGridLines="0" showWhiteSpace="0" topLeftCell="A25" zoomScaleNormal="100" workbookViewId="0">
      <selection activeCell="D54" sqref="D54:M54"/>
    </sheetView>
  </sheetViews>
  <sheetFormatPr baseColWidth="10" defaultColWidth="11.44140625" defaultRowHeight="15" x14ac:dyDescent="0.35"/>
  <cols>
    <col min="1" max="1" width="10.77734375" style="169" customWidth="1"/>
    <col min="2" max="2" width="21.6640625" style="169" bestFit="1" customWidth="1"/>
    <col min="3" max="3" width="10.77734375" style="169" customWidth="1"/>
    <col min="4" max="13" width="6.5546875" style="169" customWidth="1"/>
    <col min="14" max="16384" width="11.44140625" style="169"/>
  </cols>
  <sheetData>
    <row r="1" spans="2:29" s="166" customFormat="1" ht="19.95" customHeight="1" x14ac:dyDescent="0.5">
      <c r="B1" s="563" t="s">
        <v>178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</row>
    <row r="2" spans="2:29" s="166" customFormat="1" ht="19.95" customHeight="1" x14ac:dyDescent="0.5">
      <c r="B2" s="564" t="s">
        <v>173</v>
      </c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</row>
    <row r="3" spans="2:29" ht="15.6" thickBot="1" x14ac:dyDescent="0.4"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7"/>
    </row>
    <row r="4" spans="2:29" ht="45" customHeight="1" thickBot="1" x14ac:dyDescent="0.4">
      <c r="B4" s="170" t="s">
        <v>73</v>
      </c>
      <c r="C4" s="329" t="s">
        <v>109</v>
      </c>
      <c r="D4" s="559" t="s">
        <v>75</v>
      </c>
      <c r="E4" s="557"/>
      <c r="F4" s="557"/>
      <c r="G4" s="557"/>
      <c r="H4" s="557"/>
      <c r="I4" s="557"/>
      <c r="J4" s="557"/>
      <c r="K4" s="557"/>
      <c r="L4" s="560"/>
      <c r="M4" s="558"/>
    </row>
    <row r="5" spans="2:29" ht="25.5" customHeight="1" thickBot="1" x14ac:dyDescent="0.4">
      <c r="B5" s="171" t="s">
        <v>61</v>
      </c>
      <c r="C5" s="172" t="s">
        <v>74</v>
      </c>
      <c r="D5" s="173">
        <v>2016</v>
      </c>
      <c r="E5" s="174">
        <v>2017</v>
      </c>
      <c r="F5" s="175">
        <v>2018</v>
      </c>
      <c r="G5" s="173">
        <v>2019</v>
      </c>
      <c r="H5" s="176">
        <v>2020</v>
      </c>
      <c r="I5" s="173">
        <v>2021</v>
      </c>
      <c r="J5" s="173">
        <v>2022</v>
      </c>
      <c r="K5" s="173">
        <v>2023</v>
      </c>
      <c r="L5" s="173">
        <v>2024</v>
      </c>
      <c r="M5" s="177">
        <v>2025</v>
      </c>
    </row>
    <row r="6" spans="2:29" ht="13.05" customHeight="1" x14ac:dyDescent="0.35">
      <c r="B6" s="178" t="s">
        <v>1</v>
      </c>
      <c r="C6" s="179">
        <f>SUM(D6:M6)/10</f>
        <v>0.65708834790768456</v>
      </c>
      <c r="D6" s="180">
        <v>0</v>
      </c>
      <c r="E6" s="181">
        <v>0.23923444976076599</v>
      </c>
      <c r="F6" s="180">
        <v>1.4814814814814801</v>
      </c>
      <c r="G6" s="180">
        <v>0.86206896551724099</v>
      </c>
      <c r="H6" s="181">
        <v>0</v>
      </c>
      <c r="I6" s="181">
        <f>BEaH20!N6</f>
        <v>0</v>
      </c>
      <c r="J6" s="181">
        <f>BEaH22!N6</f>
        <v>0.57306590257879653</v>
      </c>
      <c r="K6" s="181">
        <f>BEaH23!N7</f>
        <v>1.1764705882352942</v>
      </c>
      <c r="L6" s="181">
        <f>BEaH24!T8</f>
        <v>0.27777777777777779</v>
      </c>
      <c r="M6" s="182">
        <f>BEaH25!T8</f>
        <v>1.9607843137254901</v>
      </c>
    </row>
    <row r="7" spans="2:29" ht="13.05" customHeight="1" x14ac:dyDescent="0.35">
      <c r="B7" s="183" t="s">
        <v>2</v>
      </c>
      <c r="C7" s="184">
        <f t="shared" ref="C7:C10" si="0">SUM(D7:M7)/10</f>
        <v>0.37551109594632648</v>
      </c>
      <c r="D7" s="185">
        <v>0.28561228132809702</v>
      </c>
      <c r="E7" s="186">
        <v>0.183823529411765</v>
      </c>
      <c r="F7" s="187">
        <v>0.43171114599686</v>
      </c>
      <c r="G7" s="187">
        <v>0.540315876974231</v>
      </c>
      <c r="H7" s="186">
        <v>0.28999999999999998</v>
      </c>
      <c r="I7" s="186">
        <v>0.69</v>
      </c>
      <c r="J7" s="188">
        <v>0.21</v>
      </c>
      <c r="K7" s="186">
        <f>BEaH23!N8</f>
        <v>0.4161464835622139</v>
      </c>
      <c r="L7" s="186">
        <f>BEaH24!T9</f>
        <v>0.39147455415397997</v>
      </c>
      <c r="M7" s="189">
        <f>BEaH25!T9</f>
        <v>0.3160270880361174</v>
      </c>
    </row>
    <row r="8" spans="2:29" ht="13.05" customHeight="1" x14ac:dyDescent="0.35">
      <c r="B8" s="183" t="s">
        <v>14</v>
      </c>
      <c r="C8" s="184">
        <f t="shared" si="0"/>
        <v>0.29013634111953662</v>
      </c>
      <c r="D8" s="187">
        <v>0</v>
      </c>
      <c r="E8" s="186">
        <v>0</v>
      </c>
      <c r="F8" s="187">
        <v>0.62111801242235998</v>
      </c>
      <c r="G8" s="187">
        <v>0</v>
      </c>
      <c r="H8" s="186">
        <v>0</v>
      </c>
      <c r="I8" s="186">
        <v>0.33</v>
      </c>
      <c r="J8" s="186">
        <v>1.03</v>
      </c>
      <c r="K8" s="186">
        <f>BEaH23!N9</f>
        <v>0</v>
      </c>
      <c r="L8" s="186">
        <f>BEaH24!T10</f>
        <v>0.92024539877300615</v>
      </c>
      <c r="M8" s="189">
        <f>BEaH25!T10</f>
        <v>0</v>
      </c>
    </row>
    <row r="9" spans="2:29" ht="13.05" customHeight="1" x14ac:dyDescent="0.35">
      <c r="B9" s="183" t="s">
        <v>3</v>
      </c>
      <c r="C9" s="184">
        <f t="shared" si="0"/>
        <v>0.27863960336598931</v>
      </c>
      <c r="D9" s="187">
        <v>0</v>
      </c>
      <c r="E9" s="186">
        <v>0.189393939393939</v>
      </c>
      <c r="F9" s="187">
        <v>0.78895463510848096</v>
      </c>
      <c r="G9" s="187">
        <v>0</v>
      </c>
      <c r="H9" s="186">
        <v>0.41</v>
      </c>
      <c r="I9" s="186">
        <v>0.2</v>
      </c>
      <c r="J9" s="188">
        <v>0</v>
      </c>
      <c r="K9" s="186">
        <f>BEaH23!N10</f>
        <v>0.23419203747072601</v>
      </c>
      <c r="L9" s="186">
        <f>BEaH24!T11</f>
        <v>0.96385542168674698</v>
      </c>
      <c r="M9" s="189">
        <f>BEaH25!T11</f>
        <v>0</v>
      </c>
    </row>
    <row r="10" spans="2:29" ht="30.6" thickBot="1" x14ac:dyDescent="0.4">
      <c r="B10" s="190" t="s">
        <v>174</v>
      </c>
      <c r="C10" s="191">
        <f t="shared" si="0"/>
        <v>0.25414578834086521</v>
      </c>
      <c r="D10" s="192">
        <v>0.21426385062748701</v>
      </c>
      <c r="E10" s="193">
        <v>9.0936647468930001E-2</v>
      </c>
      <c r="F10" s="194">
        <v>0.35273368606701899</v>
      </c>
      <c r="G10" s="194">
        <v>0.14798372179060301</v>
      </c>
      <c r="H10" s="195">
        <v>0.21</v>
      </c>
      <c r="I10" s="195">
        <v>0.45</v>
      </c>
      <c r="J10" s="196">
        <v>0.19</v>
      </c>
      <c r="K10" s="195">
        <f>BEaH23!N11</f>
        <v>0.32350826743350108</v>
      </c>
      <c r="L10" s="195">
        <f>BEaH24!T12</f>
        <v>0.25243418680129825</v>
      </c>
      <c r="M10" s="197">
        <f>BEaH25!T12</f>
        <v>0.30959752321981426</v>
      </c>
    </row>
    <row r="11" spans="2:29" s="204" customFormat="1" ht="13.05" customHeight="1" thickBot="1" x14ac:dyDescent="0.3">
      <c r="B11" s="198" t="s">
        <v>22</v>
      </c>
      <c r="C11" s="199">
        <f>SUM(D11:M11)/10</f>
        <v>0.32689066597272809</v>
      </c>
      <c r="D11" s="200">
        <v>0.203334688897926</v>
      </c>
      <c r="E11" s="201">
        <v>0.13678019422787599</v>
      </c>
      <c r="F11" s="200">
        <v>0.49871542995315099</v>
      </c>
      <c r="G11" s="200">
        <v>0.32128514056224899</v>
      </c>
      <c r="H11" s="201">
        <v>0.23</v>
      </c>
      <c r="I11" s="201">
        <v>0.49199999999999999</v>
      </c>
      <c r="J11" s="202">
        <v>0.24</v>
      </c>
      <c r="K11" s="201">
        <f>BEaH23!N12</f>
        <v>0.38467703157557298</v>
      </c>
      <c r="L11" s="201">
        <f>BEaH24!T13</f>
        <v>0.38878989146282195</v>
      </c>
      <c r="M11" s="203">
        <f>BEaH25!T13</f>
        <v>0.37332428304768367</v>
      </c>
    </row>
    <row r="12" spans="2:29" s="209" customFormat="1" ht="20.25" customHeight="1" thickBot="1" x14ac:dyDescent="0.4">
      <c r="B12" s="205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7"/>
      <c r="N12" s="208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</row>
    <row r="13" spans="2:29" ht="45" customHeight="1" thickBot="1" x14ac:dyDescent="0.4">
      <c r="B13" s="210" t="s">
        <v>73</v>
      </c>
      <c r="C13" s="329" t="s">
        <v>109</v>
      </c>
      <c r="D13" s="561" t="s">
        <v>75</v>
      </c>
      <c r="E13" s="561"/>
      <c r="F13" s="561"/>
      <c r="G13" s="561"/>
      <c r="H13" s="561"/>
      <c r="I13" s="561"/>
      <c r="J13" s="561"/>
      <c r="K13" s="561"/>
      <c r="L13" s="561"/>
      <c r="M13" s="562"/>
    </row>
    <row r="14" spans="2:29" ht="25.5" customHeight="1" thickBot="1" x14ac:dyDescent="0.4">
      <c r="B14" s="171" t="s">
        <v>62</v>
      </c>
      <c r="C14" s="172" t="s">
        <v>74</v>
      </c>
      <c r="D14" s="173">
        <v>2016</v>
      </c>
      <c r="E14" s="173">
        <v>2017</v>
      </c>
      <c r="F14" s="173">
        <v>2018</v>
      </c>
      <c r="G14" s="175">
        <v>2019</v>
      </c>
      <c r="H14" s="176">
        <v>2020</v>
      </c>
      <c r="I14" s="173">
        <v>2021</v>
      </c>
      <c r="J14" s="173">
        <v>2022</v>
      </c>
      <c r="K14" s="173">
        <v>2023</v>
      </c>
      <c r="L14" s="173">
        <v>2024</v>
      </c>
      <c r="M14" s="177">
        <v>2025</v>
      </c>
    </row>
    <row r="15" spans="2:29" ht="13.05" customHeight="1" x14ac:dyDescent="0.35">
      <c r="B15" s="211" t="s">
        <v>4</v>
      </c>
      <c r="C15" s="212">
        <f>SUM(D15:M15)/10</f>
        <v>0.3464755077658303</v>
      </c>
      <c r="D15" s="187">
        <v>0</v>
      </c>
      <c r="E15" s="186">
        <v>0</v>
      </c>
      <c r="F15" s="213">
        <v>0</v>
      </c>
      <c r="G15" s="213">
        <v>0</v>
      </c>
      <c r="H15" s="214">
        <v>0</v>
      </c>
      <c r="I15" s="186">
        <f>BEaH20!N14</f>
        <v>0</v>
      </c>
      <c r="J15" s="188">
        <f>BEaH21!N14</f>
        <v>0</v>
      </c>
      <c r="K15" s="214">
        <f>BEaH23!N15</f>
        <v>0</v>
      </c>
      <c r="L15" s="215">
        <f>BEaH24!T17</f>
        <v>1.6129032258064515</v>
      </c>
      <c r="M15" s="216">
        <f>BEaH25!T17</f>
        <v>1.8518518518518519</v>
      </c>
    </row>
    <row r="16" spans="2:29" ht="13.05" customHeight="1" x14ac:dyDescent="0.35">
      <c r="B16" s="217" t="s">
        <v>5</v>
      </c>
      <c r="C16" s="212">
        <f t="shared" ref="C16:C26" si="1">SUM(D16:M16)/10</f>
        <v>0.36208913750343047</v>
      </c>
      <c r="D16" s="187">
        <v>0.22675736961451201</v>
      </c>
      <c r="E16" s="186">
        <v>0.45248868778280499</v>
      </c>
      <c r="F16" s="213">
        <v>0.49701789264413498</v>
      </c>
      <c r="G16" s="213">
        <v>9.7465886939571103E-2</v>
      </c>
      <c r="H16" s="214">
        <v>0.38</v>
      </c>
      <c r="I16" s="186">
        <v>0.09</v>
      </c>
      <c r="J16" s="188">
        <v>0.56000000000000005</v>
      </c>
      <c r="K16" s="186">
        <f>BEaH23!N16</f>
        <v>0.51282051282051277</v>
      </c>
      <c r="L16" s="186">
        <f>BEaH24!T18</f>
        <v>0.44365572315882873</v>
      </c>
      <c r="M16" s="189">
        <f>BEaH25!T18</f>
        <v>0.36068530207394051</v>
      </c>
    </row>
    <row r="17" spans="2:29" ht="13.05" customHeight="1" x14ac:dyDescent="0.35">
      <c r="B17" s="217" t="s">
        <v>6</v>
      </c>
      <c r="C17" s="212">
        <f t="shared" si="1"/>
        <v>0.18963945578231289</v>
      </c>
      <c r="D17" s="187">
        <v>0</v>
      </c>
      <c r="E17" s="186">
        <v>0</v>
      </c>
      <c r="F17" s="213">
        <v>0</v>
      </c>
      <c r="G17" s="213">
        <v>0.476190476190476</v>
      </c>
      <c r="H17" s="214">
        <v>0</v>
      </c>
      <c r="I17" s="186">
        <f>BEaH20!N16</f>
        <v>0</v>
      </c>
      <c r="J17" s="188">
        <v>0.91</v>
      </c>
      <c r="K17" s="214">
        <f>BEaH23!N17</f>
        <v>0.51020408163265307</v>
      </c>
      <c r="L17" s="186">
        <f>BEaH24!T19</f>
        <v>0</v>
      </c>
      <c r="M17" s="189">
        <f>BEaH25!T19</f>
        <v>0</v>
      </c>
    </row>
    <row r="18" spans="2:29" ht="13.05" customHeight="1" x14ac:dyDescent="0.35">
      <c r="B18" s="217" t="s">
        <v>7</v>
      </c>
      <c r="C18" s="212">
        <f t="shared" si="1"/>
        <v>7.246376811594199E-2</v>
      </c>
      <c r="D18" s="187">
        <v>0.72463768115941996</v>
      </c>
      <c r="E18" s="186">
        <v>0</v>
      </c>
      <c r="F18" s="213">
        <v>0</v>
      </c>
      <c r="G18" s="213">
        <v>0</v>
      </c>
      <c r="H18" s="214">
        <v>0</v>
      </c>
      <c r="I18" s="186">
        <f>BEaH20!N17</f>
        <v>0</v>
      </c>
      <c r="J18" s="186">
        <f>BEaH21!N17</f>
        <v>0</v>
      </c>
      <c r="K18" s="214">
        <f>BEaH23!N18</f>
        <v>0</v>
      </c>
      <c r="L18" s="186">
        <f>BEaH24!T20</f>
        <v>0</v>
      </c>
      <c r="M18" s="189">
        <f>BEaH25!T20</f>
        <v>0</v>
      </c>
    </row>
    <row r="19" spans="2:29" ht="13.05" customHeight="1" x14ac:dyDescent="0.35">
      <c r="B19" s="410" t="s">
        <v>8</v>
      </c>
      <c r="C19" s="179">
        <f t="shared" si="1"/>
        <v>1.1666666666666661</v>
      </c>
      <c r="D19" s="180">
        <v>3.3333333333333299</v>
      </c>
      <c r="E19" s="181">
        <v>0</v>
      </c>
      <c r="F19" s="411">
        <v>0</v>
      </c>
      <c r="G19" s="411">
        <v>8.3333333333333304</v>
      </c>
      <c r="H19" s="181">
        <v>0</v>
      </c>
      <c r="I19" s="181">
        <f>BEaH20!N18</f>
        <v>0</v>
      </c>
      <c r="J19" s="181">
        <f>BEaH21!N18</f>
        <v>0</v>
      </c>
      <c r="K19" s="181">
        <f>BEaH23!N19</f>
        <v>0</v>
      </c>
      <c r="L19" s="181">
        <f>BEaH24!T21</f>
        <v>0</v>
      </c>
      <c r="M19" s="182">
        <f>BEaH25!T21</f>
        <v>0</v>
      </c>
    </row>
    <row r="20" spans="2:29" ht="13.05" customHeight="1" x14ac:dyDescent="0.35">
      <c r="B20" s="217" t="s">
        <v>9</v>
      </c>
      <c r="C20" s="212">
        <f t="shared" si="1"/>
        <v>0.72235849056603774</v>
      </c>
      <c r="D20" s="187">
        <v>0</v>
      </c>
      <c r="E20" s="186">
        <v>0</v>
      </c>
      <c r="F20" s="213">
        <v>0</v>
      </c>
      <c r="G20" s="213">
        <v>0</v>
      </c>
      <c r="H20" s="186">
        <v>0</v>
      </c>
      <c r="I20" s="186">
        <f>BEaH20!N19</f>
        <v>0</v>
      </c>
      <c r="J20" s="186">
        <v>3.45</v>
      </c>
      <c r="K20" s="186">
        <f>BEaH23!N20</f>
        <v>3.7735849056603774</v>
      </c>
      <c r="L20" s="186">
        <f>BEaH24!T22</f>
        <v>0</v>
      </c>
      <c r="M20" s="189">
        <f>BEaH25!T22</f>
        <v>0</v>
      </c>
    </row>
    <row r="21" spans="2:29" ht="13.05" customHeight="1" x14ac:dyDescent="0.35">
      <c r="B21" s="404" t="s">
        <v>10</v>
      </c>
      <c r="C21" s="405">
        <f t="shared" si="1"/>
        <v>0</v>
      </c>
      <c r="D21" s="406">
        <v>0</v>
      </c>
      <c r="E21" s="407">
        <v>0</v>
      </c>
      <c r="F21" s="408">
        <v>0</v>
      </c>
      <c r="G21" s="408">
        <v>0</v>
      </c>
      <c r="H21" s="407">
        <v>0</v>
      </c>
      <c r="I21" s="407">
        <f>BEaH20!N20</f>
        <v>0</v>
      </c>
      <c r="J21" s="407">
        <f>BEaH21!N20</f>
        <v>0</v>
      </c>
      <c r="K21" s="407">
        <f>BEaH23!N21</f>
        <v>0</v>
      </c>
      <c r="L21" s="407">
        <f>BEaH24!T23</f>
        <v>0</v>
      </c>
      <c r="M21" s="409">
        <f>BEaH25!T23</f>
        <v>0</v>
      </c>
    </row>
    <row r="22" spans="2:29" ht="13.05" customHeight="1" x14ac:dyDescent="0.35">
      <c r="B22" s="217" t="s">
        <v>11</v>
      </c>
      <c r="C22" s="212">
        <f t="shared" si="1"/>
        <v>0.43305388099118947</v>
      </c>
      <c r="D22" s="187">
        <v>0</v>
      </c>
      <c r="E22" s="186">
        <v>1.0752688172042999</v>
      </c>
      <c r="F22" s="213">
        <v>0.952380952380952</v>
      </c>
      <c r="G22" s="213">
        <v>0</v>
      </c>
      <c r="H22" s="186">
        <v>0</v>
      </c>
      <c r="I22" s="186">
        <v>0.22</v>
      </c>
      <c r="J22" s="186">
        <v>1.02</v>
      </c>
      <c r="K22" s="186">
        <f>BEaH23!N22</f>
        <v>0.41753653444676408</v>
      </c>
      <c r="L22" s="186">
        <f>BEaH24!T24</f>
        <v>0.41493775933609961</v>
      </c>
      <c r="M22" s="189">
        <f>BEaH25!T24</f>
        <v>0.2304147465437788</v>
      </c>
    </row>
    <row r="23" spans="2:29" ht="13.05" customHeight="1" x14ac:dyDescent="0.35">
      <c r="B23" s="217" t="s">
        <v>12</v>
      </c>
      <c r="C23" s="212">
        <f t="shared" si="1"/>
        <v>0.42025212351036423</v>
      </c>
      <c r="D23" s="187">
        <v>0.465999309630652</v>
      </c>
      <c r="E23" s="186">
        <v>0.14262791941522601</v>
      </c>
      <c r="F23" s="213">
        <v>0.26990553306342802</v>
      </c>
      <c r="G23" s="213">
        <v>0.35676810073452297</v>
      </c>
      <c r="H23" s="186">
        <v>0.49</v>
      </c>
      <c r="I23" s="186">
        <v>0.61</v>
      </c>
      <c r="J23" s="186">
        <v>0.53</v>
      </c>
      <c r="K23" s="186">
        <f>BEaH23!N23</f>
        <v>0.4736129905277402</v>
      </c>
      <c r="L23" s="186">
        <f>BEaH24!T25</f>
        <v>0.42681395932714034</v>
      </c>
      <c r="M23" s="189">
        <f>BEaH25!T25</f>
        <v>0.43679342240493318</v>
      </c>
    </row>
    <row r="24" spans="2:29" ht="13.05" customHeight="1" x14ac:dyDescent="0.35">
      <c r="B24" s="410" t="s">
        <v>13</v>
      </c>
      <c r="C24" s="179">
        <f t="shared" si="1"/>
        <v>1.4090909090909096</v>
      </c>
      <c r="D24" s="180">
        <v>0</v>
      </c>
      <c r="E24" s="181">
        <v>3.5714285714285698</v>
      </c>
      <c r="F24" s="411">
        <v>4.5454545454545503</v>
      </c>
      <c r="G24" s="411">
        <v>0</v>
      </c>
      <c r="H24" s="181">
        <v>0</v>
      </c>
      <c r="I24" s="181">
        <f>BEaH20!N23</f>
        <v>0</v>
      </c>
      <c r="J24" s="181">
        <f>BEaH21!N23</f>
        <v>0</v>
      </c>
      <c r="K24" s="181">
        <f>BEaH23!N24</f>
        <v>4.5454545454545459</v>
      </c>
      <c r="L24" s="181">
        <f>BEaH24!T26</f>
        <v>1.4285714285714286</v>
      </c>
      <c r="M24" s="182">
        <f>BEaH25!T26</f>
        <v>0</v>
      </c>
    </row>
    <row r="25" spans="2:29" ht="30.6" thickBot="1" x14ac:dyDescent="0.4">
      <c r="B25" s="218" t="s">
        <v>174</v>
      </c>
      <c r="C25" s="191">
        <f t="shared" si="1"/>
        <v>0.41173354714263982</v>
      </c>
      <c r="D25" s="194">
        <v>0.36382536382536401</v>
      </c>
      <c r="E25" s="195">
        <v>8.4104289318755299E-2</v>
      </c>
      <c r="F25" s="219">
        <v>0.18273184102329801</v>
      </c>
      <c r="G25" s="219">
        <v>0.40467625899280601</v>
      </c>
      <c r="H25" s="195">
        <v>0.13</v>
      </c>
      <c r="I25" s="195">
        <v>0.42</v>
      </c>
      <c r="J25" s="193">
        <v>0.44</v>
      </c>
      <c r="K25" s="195">
        <f>BEaH23!N25</f>
        <v>0.58823529411764708</v>
      </c>
      <c r="L25" s="195">
        <f>BEaH24!T27</f>
        <v>1.0015022533800702</v>
      </c>
      <c r="M25" s="220">
        <f>BEaH25!T27</f>
        <v>0.50226017076845808</v>
      </c>
    </row>
    <row r="26" spans="2:29" ht="13.05" customHeight="1" thickBot="1" x14ac:dyDescent="0.4">
      <c r="B26" s="198" t="s">
        <v>22</v>
      </c>
      <c r="C26" s="199">
        <f t="shared" si="1"/>
        <v>0.40391484981201725</v>
      </c>
      <c r="D26" s="200">
        <v>0.39472317440531801</v>
      </c>
      <c r="E26" s="221">
        <v>0.19244403929909901</v>
      </c>
      <c r="F26" s="222">
        <v>0.29686174724342701</v>
      </c>
      <c r="G26" s="223">
        <v>0.33314825097168199</v>
      </c>
      <c r="H26" s="221">
        <v>0.33314825097168199</v>
      </c>
      <c r="I26" s="221">
        <v>0.44059999999999999</v>
      </c>
      <c r="J26" s="202">
        <v>0.54</v>
      </c>
      <c r="K26" s="224">
        <f>BEaH23!N26</f>
        <v>0.52112835617990261</v>
      </c>
      <c r="L26" s="224">
        <f>BEaH24!T28</f>
        <v>0.56762092793682128</v>
      </c>
      <c r="M26" s="203">
        <f>BEaH25!T28</f>
        <v>0.419473751112241</v>
      </c>
    </row>
    <row r="27" spans="2:29" s="209" customFormat="1" ht="20.25" customHeight="1" thickBot="1" x14ac:dyDescent="0.4">
      <c r="B27" s="205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7"/>
      <c r="N27" s="208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</row>
    <row r="28" spans="2:29" ht="45" customHeight="1" thickBot="1" x14ac:dyDescent="0.4">
      <c r="B28" s="170" t="s">
        <v>73</v>
      </c>
      <c r="C28" s="329" t="s">
        <v>109</v>
      </c>
      <c r="D28" s="556" t="s">
        <v>75</v>
      </c>
      <c r="E28" s="557"/>
      <c r="F28" s="557"/>
      <c r="G28" s="557"/>
      <c r="H28" s="557"/>
      <c r="I28" s="557"/>
      <c r="J28" s="557"/>
      <c r="K28" s="557"/>
      <c r="L28" s="557"/>
      <c r="M28" s="558"/>
    </row>
    <row r="29" spans="2:29" ht="25.5" customHeight="1" thickBot="1" x14ac:dyDescent="0.4">
      <c r="B29" s="171" t="s">
        <v>63</v>
      </c>
      <c r="C29" s="172" t="s">
        <v>74</v>
      </c>
      <c r="D29" s="173">
        <v>2016</v>
      </c>
      <c r="E29" s="173">
        <v>2017</v>
      </c>
      <c r="F29" s="175">
        <v>2018</v>
      </c>
      <c r="G29" s="175">
        <v>2019</v>
      </c>
      <c r="H29" s="176">
        <v>2020</v>
      </c>
      <c r="I29" s="173">
        <v>2021</v>
      </c>
      <c r="J29" s="173">
        <v>2022</v>
      </c>
      <c r="K29" s="173">
        <v>2023</v>
      </c>
      <c r="L29" s="173">
        <v>2024</v>
      </c>
      <c r="M29" s="177">
        <v>2025</v>
      </c>
    </row>
    <row r="30" spans="2:29" ht="13.8" hidden="1" customHeight="1" x14ac:dyDescent="0.35">
      <c r="B30" s="225" t="s">
        <v>133</v>
      </c>
      <c r="C30" s="184">
        <f>SUM(D30:M30)/10</f>
        <v>0.11363055180261772</v>
      </c>
      <c r="D30" s="226" t="s">
        <v>126</v>
      </c>
      <c r="E30" s="226" t="s">
        <v>126</v>
      </c>
      <c r="F30" s="226" t="s">
        <v>126</v>
      </c>
      <c r="G30" s="226" t="s">
        <v>126</v>
      </c>
      <c r="H30" s="226" t="s">
        <v>126</v>
      </c>
      <c r="I30" s="226" t="s">
        <v>126</v>
      </c>
      <c r="J30" s="226" t="s">
        <v>126</v>
      </c>
      <c r="K30" s="226" t="s">
        <v>126</v>
      </c>
      <c r="L30" s="187">
        <f>BEaH24!T32</f>
        <v>0.59012875536480691</v>
      </c>
      <c r="M30" s="216">
        <f>BEaH25!T32</f>
        <v>0.54617676266137039</v>
      </c>
    </row>
    <row r="31" spans="2:29" ht="13.8" hidden="1" customHeight="1" x14ac:dyDescent="0.35">
      <c r="B31" s="227" t="s">
        <v>150</v>
      </c>
      <c r="C31" s="184">
        <f>SUM(D31:M31)/10</f>
        <v>3.9716588978100743E-2</v>
      </c>
      <c r="D31" s="226" t="s">
        <v>126</v>
      </c>
      <c r="E31" s="226" t="s">
        <v>126</v>
      </c>
      <c r="F31" s="226" t="s">
        <v>126</v>
      </c>
      <c r="G31" s="226" t="s">
        <v>126</v>
      </c>
      <c r="H31" s="226" t="s">
        <v>126</v>
      </c>
      <c r="I31" s="226" t="s">
        <v>126</v>
      </c>
      <c r="J31" s="226" t="s">
        <v>126</v>
      </c>
      <c r="K31" s="226" t="s">
        <v>126</v>
      </c>
      <c r="L31" s="187">
        <f>BEaH24!T33</f>
        <v>0.20092129765755171</v>
      </c>
      <c r="M31" s="216">
        <f>BEaH25!T33</f>
        <v>0.19624459212345569</v>
      </c>
    </row>
    <row r="32" spans="2:29" ht="27.6" hidden="1" customHeight="1" x14ac:dyDescent="0.35">
      <c r="B32" s="228" t="s">
        <v>134</v>
      </c>
      <c r="C32" s="184">
        <f t="shared" ref="C32:C35" si="2">SUM(D32:M32)/10</f>
        <v>0.1778926860032993</v>
      </c>
      <c r="D32" s="226" t="s">
        <v>126</v>
      </c>
      <c r="E32" s="226" t="s">
        <v>126</v>
      </c>
      <c r="F32" s="226" t="s">
        <v>126</v>
      </c>
      <c r="G32" s="226" t="s">
        <v>126</v>
      </c>
      <c r="H32" s="226" t="s">
        <v>126</v>
      </c>
      <c r="I32" s="226" t="s">
        <v>126</v>
      </c>
      <c r="J32" s="226" t="s">
        <v>126</v>
      </c>
      <c r="K32" s="226" t="s">
        <v>126</v>
      </c>
      <c r="L32" s="187">
        <f>BEaH24!T34</f>
        <v>0.94237602348215666</v>
      </c>
      <c r="M32" s="216">
        <f>BEaH25!T34</f>
        <v>0.83655083655083651</v>
      </c>
    </row>
    <row r="33" spans="2:13" ht="13.05" customHeight="1" x14ac:dyDescent="0.35">
      <c r="B33" s="183" t="s">
        <v>15</v>
      </c>
      <c r="C33" s="184">
        <f>SUM(D33:K33)/8</f>
        <v>6.05141081391549E-2</v>
      </c>
      <c r="D33" s="187">
        <v>5.9055118110236199E-2</v>
      </c>
      <c r="E33" s="186">
        <v>6.7055589083350103E-2</v>
      </c>
      <c r="F33" s="213">
        <v>6.7055589083350103E-2</v>
      </c>
      <c r="G33" s="213">
        <v>2.8394974089586099E-2</v>
      </c>
      <c r="H33" s="186">
        <v>0.06</v>
      </c>
      <c r="I33" s="186">
        <v>0.08</v>
      </c>
      <c r="J33" s="188">
        <v>0.04</v>
      </c>
      <c r="K33" s="188">
        <f>BEaH23!N29</f>
        <v>8.2551594746716694E-2</v>
      </c>
      <c r="L33" s="186" t="s">
        <v>126</v>
      </c>
      <c r="M33" s="229" t="s">
        <v>126</v>
      </c>
    </row>
    <row r="34" spans="2:13" ht="13.05" hidden="1" customHeight="1" x14ac:dyDescent="0.35">
      <c r="B34" s="183" t="s">
        <v>135</v>
      </c>
      <c r="C34" s="184">
        <f t="shared" si="2"/>
        <v>3.7384197766323242E-2</v>
      </c>
      <c r="D34" s="226" t="s">
        <v>126</v>
      </c>
      <c r="E34" s="226" t="s">
        <v>126</v>
      </c>
      <c r="F34" s="226" t="s">
        <v>126</v>
      </c>
      <c r="G34" s="226" t="s">
        <v>126</v>
      </c>
      <c r="H34" s="226" t="s">
        <v>126</v>
      </c>
      <c r="I34" s="226" t="s">
        <v>126</v>
      </c>
      <c r="J34" s="226" t="s">
        <v>126</v>
      </c>
      <c r="K34" s="226" t="s">
        <v>126</v>
      </c>
      <c r="L34" s="187">
        <f>BEaH24!T35</f>
        <v>0.16219404305514598</v>
      </c>
      <c r="M34" s="216">
        <f>BEaH25!T35</f>
        <v>0.21164793460808642</v>
      </c>
    </row>
    <row r="35" spans="2:13" ht="13.05" hidden="1" customHeight="1" x14ac:dyDescent="0.35">
      <c r="B35" s="183" t="s">
        <v>136</v>
      </c>
      <c r="C35" s="184">
        <f t="shared" si="2"/>
        <v>9.718204015778846E-2</v>
      </c>
      <c r="D35" s="226" t="s">
        <v>126</v>
      </c>
      <c r="E35" s="226" t="s">
        <v>126</v>
      </c>
      <c r="F35" s="226" t="s">
        <v>126</v>
      </c>
      <c r="G35" s="226" t="s">
        <v>126</v>
      </c>
      <c r="H35" s="226" t="s">
        <v>126</v>
      </c>
      <c r="I35" s="226" t="s">
        <v>126</v>
      </c>
      <c r="J35" s="226" t="s">
        <v>126</v>
      </c>
      <c r="K35" s="226" t="s">
        <v>126</v>
      </c>
      <c r="L35" s="187">
        <f>BEaH24!T36</f>
        <v>0.37267080745341613</v>
      </c>
      <c r="M35" s="216">
        <f>BEaH25!T36</f>
        <v>0.59914959412446844</v>
      </c>
    </row>
    <row r="36" spans="2:13" ht="13.05" customHeight="1" x14ac:dyDescent="0.35">
      <c r="B36" s="183" t="s">
        <v>34</v>
      </c>
      <c r="C36" s="184">
        <f>SUM(D36:M36)/10</f>
        <v>0.16358561100311012</v>
      </c>
      <c r="D36" s="187">
        <v>4.0477636106051401E-2</v>
      </c>
      <c r="E36" s="186">
        <v>0.189393939393939</v>
      </c>
      <c r="F36" s="213">
        <v>0.107342206955775</v>
      </c>
      <c r="G36" s="213">
        <v>0.107342206955775</v>
      </c>
      <c r="H36" s="186">
        <v>0.32</v>
      </c>
      <c r="I36" s="186">
        <v>0.107342206955775</v>
      </c>
      <c r="J36" s="188">
        <v>0.28000000000000003</v>
      </c>
      <c r="K36" s="188">
        <f>BEaH23!N31</f>
        <v>0.19047619047619047</v>
      </c>
      <c r="L36" s="186">
        <f>BEaH24!T37</f>
        <v>0.19198464122870171</v>
      </c>
      <c r="M36" s="216">
        <f>BEaH25!T37</f>
        <v>0.10149708195889368</v>
      </c>
    </row>
    <row r="37" spans="2:13" ht="13.05" hidden="1" customHeight="1" x14ac:dyDescent="0.35">
      <c r="B37" s="183" t="s">
        <v>137</v>
      </c>
      <c r="C37" s="184">
        <f t="shared" ref="C37:C39" si="3">SUM(D37:M37)/10</f>
        <v>5.9479197888719124E-2</v>
      </c>
      <c r="D37" s="226" t="s">
        <v>126</v>
      </c>
      <c r="E37" s="226" t="s">
        <v>126</v>
      </c>
      <c r="F37" s="226" t="s">
        <v>126</v>
      </c>
      <c r="G37" s="226" t="s">
        <v>126</v>
      </c>
      <c r="H37" s="226" t="s">
        <v>126</v>
      </c>
      <c r="I37" s="226" t="s">
        <v>126</v>
      </c>
      <c r="J37" s="226" t="s">
        <v>126</v>
      </c>
      <c r="K37" s="226" t="s">
        <v>126</v>
      </c>
      <c r="L37" s="187">
        <f>BEaH24!T38</f>
        <v>0.35135135135135137</v>
      </c>
      <c r="M37" s="216">
        <f>BEaH25!T38</f>
        <v>0.24344062753583987</v>
      </c>
    </row>
    <row r="38" spans="2:13" ht="13.05" customHeight="1" x14ac:dyDescent="0.35">
      <c r="B38" s="183" t="s">
        <v>138</v>
      </c>
      <c r="C38" s="184">
        <f t="shared" si="3"/>
        <v>0.2909190193459702</v>
      </c>
      <c r="D38" s="187">
        <v>0.20950515792589899</v>
      </c>
      <c r="E38" s="186">
        <v>0.25412960609911101</v>
      </c>
      <c r="F38" s="213">
        <v>0.23306730701320699</v>
      </c>
      <c r="G38" s="213">
        <v>0.25698521075306702</v>
      </c>
      <c r="H38" s="186">
        <v>0.28000000000000003</v>
      </c>
      <c r="I38" s="186">
        <v>0.31</v>
      </c>
      <c r="J38" s="186">
        <v>0.3</v>
      </c>
      <c r="K38" s="188">
        <f>BEaH23!N34</f>
        <v>0.38716677763803603</v>
      </c>
      <c r="L38" s="186">
        <f>BEaH24!T39</f>
        <v>0.30585291255387181</v>
      </c>
      <c r="M38" s="216">
        <f>BEaH25!T39</f>
        <v>0.37248322147651008</v>
      </c>
    </row>
    <row r="39" spans="2:13" ht="13.05" customHeight="1" x14ac:dyDescent="0.35">
      <c r="B39" s="183" t="s">
        <v>16</v>
      </c>
      <c r="C39" s="184">
        <f t="shared" si="3"/>
        <v>0.32937051823479441</v>
      </c>
      <c r="D39" s="187">
        <v>0.231660231660232</v>
      </c>
      <c r="E39" s="186">
        <v>0.28284098051539902</v>
      </c>
      <c r="F39" s="213">
        <v>0.28625954198473302</v>
      </c>
      <c r="G39" s="213">
        <v>0.22363667641493201</v>
      </c>
      <c r="H39" s="186">
        <v>0.22363667641493201</v>
      </c>
      <c r="I39" s="186">
        <v>0.42</v>
      </c>
      <c r="J39" s="188">
        <v>0.55000000000000004</v>
      </c>
      <c r="K39" s="188">
        <f>BEaH23!N30</f>
        <v>0.32131381649410923</v>
      </c>
      <c r="L39" s="186">
        <f>BEaH24!T40</f>
        <v>0.49228312932410856</v>
      </c>
      <c r="M39" s="216">
        <f>BEaH25!T40</f>
        <v>0.26207412953949832</v>
      </c>
    </row>
    <row r="40" spans="2:13" ht="13.05" customHeight="1" x14ac:dyDescent="0.35">
      <c r="B40" s="183" t="s">
        <v>17</v>
      </c>
      <c r="C40" s="184">
        <f>SUM(D40:K40)/8</f>
        <v>4.4835441702923376E-2</v>
      </c>
      <c r="D40" s="187">
        <v>4.9995588624533099E-2</v>
      </c>
      <c r="E40" s="186">
        <v>4.9995588624533099E-2</v>
      </c>
      <c r="F40" s="213">
        <v>3.62132963152971E-2</v>
      </c>
      <c r="G40" s="213">
        <v>4.9995588624533099E-2</v>
      </c>
      <c r="H40" s="186">
        <v>0.02</v>
      </c>
      <c r="I40" s="186">
        <v>0.04</v>
      </c>
      <c r="J40" s="186">
        <f>BEaH21!N31</f>
        <v>4.431080867225827E-2</v>
      </c>
      <c r="K40" s="188">
        <f>BEaH23!N32</f>
        <v>6.8172662762232342E-2</v>
      </c>
      <c r="L40" s="186" t="s">
        <v>126</v>
      </c>
      <c r="M40" s="229" t="s">
        <v>126</v>
      </c>
    </row>
    <row r="41" spans="2:13" ht="13.05" hidden="1" customHeight="1" x14ac:dyDescent="0.35">
      <c r="B41" s="183" t="s">
        <v>139</v>
      </c>
      <c r="C41" s="184">
        <f t="shared" ref="C41:C49" si="4">SUM(D41:M41)/10</f>
        <v>5.5296573933079018E-2</v>
      </c>
      <c r="D41" s="226" t="s">
        <v>126</v>
      </c>
      <c r="E41" s="226" t="s">
        <v>126</v>
      </c>
      <c r="F41" s="226" t="s">
        <v>126</v>
      </c>
      <c r="G41" s="226" t="s">
        <v>126</v>
      </c>
      <c r="H41" s="226" t="s">
        <v>126</v>
      </c>
      <c r="I41" s="226" t="s">
        <v>126</v>
      </c>
      <c r="J41" s="226" t="s">
        <v>126</v>
      </c>
      <c r="K41" s="226" t="s">
        <v>126</v>
      </c>
      <c r="L41" s="187">
        <f>BEaH24!T42</f>
        <v>0.30959752321981426</v>
      </c>
      <c r="M41" s="216">
        <f>BEaH25!T42</f>
        <v>0.24336821611097589</v>
      </c>
    </row>
    <row r="42" spans="2:13" ht="13.05" hidden="1" customHeight="1" x14ac:dyDescent="0.35">
      <c r="B42" s="183" t="s">
        <v>140</v>
      </c>
      <c r="C42" s="184">
        <f t="shared" si="4"/>
        <v>0.18301238171079179</v>
      </c>
      <c r="D42" s="226" t="s">
        <v>126</v>
      </c>
      <c r="E42" s="226" t="s">
        <v>126</v>
      </c>
      <c r="F42" s="226" t="s">
        <v>126</v>
      </c>
      <c r="G42" s="226" t="s">
        <v>126</v>
      </c>
      <c r="H42" s="226" t="s">
        <v>126</v>
      </c>
      <c r="I42" s="226" t="s">
        <v>126</v>
      </c>
      <c r="J42" s="226" t="s">
        <v>126</v>
      </c>
      <c r="K42" s="226" t="s">
        <v>126</v>
      </c>
      <c r="L42" s="187">
        <f>BEaH24!T43</f>
        <v>0.89335566722501392</v>
      </c>
      <c r="M42" s="216">
        <f>BEaH25!T43</f>
        <v>0.93676814988290402</v>
      </c>
    </row>
    <row r="43" spans="2:13" ht="13.05" customHeight="1" x14ac:dyDescent="0.35">
      <c r="B43" s="183" t="s">
        <v>18</v>
      </c>
      <c r="C43" s="184">
        <f>SUM(D43:K43)/8</f>
        <v>8.9100141958407333E-2</v>
      </c>
      <c r="D43" s="187">
        <v>0.12871393328327799</v>
      </c>
      <c r="E43" s="186">
        <v>5.4365553984995103E-2</v>
      </c>
      <c r="F43" s="213">
        <v>9.0029259509340501E-2</v>
      </c>
      <c r="G43" s="213">
        <v>5.17196793379881E-2</v>
      </c>
      <c r="H43" s="186">
        <v>0.08</v>
      </c>
      <c r="I43" s="186">
        <v>0.11</v>
      </c>
      <c r="J43" s="186">
        <v>0.12</v>
      </c>
      <c r="K43" s="188">
        <f>BEaH23!N33</f>
        <v>7.7972709551656916E-2</v>
      </c>
      <c r="L43" s="186" t="s">
        <v>126</v>
      </c>
      <c r="M43" s="229" t="s">
        <v>126</v>
      </c>
    </row>
    <row r="44" spans="2:13" ht="30" x14ac:dyDescent="0.35">
      <c r="B44" s="475" t="s">
        <v>172</v>
      </c>
      <c r="C44" s="179">
        <f>SUM(D44:M44)/10</f>
        <v>0.77548347398253614</v>
      </c>
      <c r="D44" s="180">
        <v>0.63424947145877397</v>
      </c>
      <c r="E44" s="181">
        <v>0.35629453681710199</v>
      </c>
      <c r="F44" s="411">
        <v>0.209205020920502</v>
      </c>
      <c r="G44" s="411">
        <v>0.30120481927710802</v>
      </c>
      <c r="H44" s="181">
        <v>0.23</v>
      </c>
      <c r="I44" s="181">
        <v>0.85</v>
      </c>
      <c r="J44" s="181">
        <v>2.5099999999999998</v>
      </c>
      <c r="K44" s="476">
        <f>BEaH23!N36</f>
        <v>1.3175230566534915</v>
      </c>
      <c r="L44" s="181">
        <f>BEaH24!T41</f>
        <v>1.059001512859304</v>
      </c>
      <c r="M44" s="477">
        <f>BEaH25!T41</f>
        <v>0.28735632183908044</v>
      </c>
    </row>
    <row r="45" spans="2:13" ht="13.05" hidden="1" customHeight="1" x14ac:dyDescent="0.35">
      <c r="B45" s="183" t="s">
        <v>141</v>
      </c>
      <c r="C45" s="184">
        <f t="shared" si="4"/>
        <v>3.6905644396835052E-2</v>
      </c>
      <c r="D45" s="226" t="s">
        <v>126</v>
      </c>
      <c r="E45" s="226" t="s">
        <v>126</v>
      </c>
      <c r="F45" s="226" t="s">
        <v>126</v>
      </c>
      <c r="G45" s="226" t="s">
        <v>126</v>
      </c>
      <c r="H45" s="226" t="s">
        <v>126</v>
      </c>
      <c r="I45" s="226" t="s">
        <v>126</v>
      </c>
      <c r="J45" s="226" t="s">
        <v>126</v>
      </c>
      <c r="K45" s="226" t="s">
        <v>126</v>
      </c>
      <c r="L45" s="187">
        <f>BEaH24!T44</f>
        <v>0.16360661697873113</v>
      </c>
      <c r="M45" s="216">
        <f>BEaH25!T44</f>
        <v>0.20544982698961939</v>
      </c>
    </row>
    <row r="46" spans="2:13" ht="13.05" hidden="1" customHeight="1" x14ac:dyDescent="0.35">
      <c r="B46" s="183" t="s">
        <v>142</v>
      </c>
      <c r="C46" s="184">
        <f t="shared" si="4"/>
        <v>7.0224719101123602E-3</v>
      </c>
      <c r="D46" s="226" t="s">
        <v>126</v>
      </c>
      <c r="E46" s="226" t="s">
        <v>126</v>
      </c>
      <c r="F46" s="226" t="s">
        <v>126</v>
      </c>
      <c r="G46" s="226" t="s">
        <v>126</v>
      </c>
      <c r="H46" s="226" t="s">
        <v>126</v>
      </c>
      <c r="I46" s="226" t="s">
        <v>126</v>
      </c>
      <c r="J46" s="226" t="s">
        <v>126</v>
      </c>
      <c r="K46" s="226" t="s">
        <v>126</v>
      </c>
      <c r="L46" s="187">
        <f>BEaH24!T45</f>
        <v>7.02247191011236E-2</v>
      </c>
      <c r="M46" s="216">
        <f>BEaH25!T45</f>
        <v>0</v>
      </c>
    </row>
    <row r="47" spans="2:13" ht="13.05" hidden="1" customHeight="1" x14ac:dyDescent="0.35">
      <c r="B47" s="183" t="s">
        <v>20</v>
      </c>
      <c r="C47" s="184">
        <f>SUM(D47:K47)/8</f>
        <v>0.1705349512938964</v>
      </c>
      <c r="D47" s="187">
        <v>0.191283364232954</v>
      </c>
      <c r="E47" s="186">
        <v>0.17185575573568601</v>
      </c>
      <c r="F47" s="213">
        <v>0.18547959724430299</v>
      </c>
      <c r="G47" s="213">
        <v>0.17192153010161801</v>
      </c>
      <c r="H47" s="186">
        <v>0.15</v>
      </c>
      <c r="I47" s="186">
        <f>BEaH20!N34</f>
        <v>0.15181282371852117</v>
      </c>
      <c r="J47" s="186">
        <v>0.16</v>
      </c>
      <c r="K47" s="188">
        <f>BEaH23!N35</f>
        <v>0.18192653931808914</v>
      </c>
      <c r="L47" s="186" t="s">
        <v>126</v>
      </c>
      <c r="M47" s="229" t="s">
        <v>126</v>
      </c>
    </row>
    <row r="48" spans="2:13" ht="13.05" hidden="1" customHeight="1" x14ac:dyDescent="0.35">
      <c r="B48" s="183" t="s">
        <v>143</v>
      </c>
      <c r="C48" s="184">
        <f>SUM(D48:M48)/10</f>
        <v>1.7863545424181185E-2</v>
      </c>
      <c r="D48" s="226" t="s">
        <v>126</v>
      </c>
      <c r="E48" s="226" t="s">
        <v>126</v>
      </c>
      <c r="F48" s="226" t="s">
        <v>126</v>
      </c>
      <c r="G48" s="226" t="s">
        <v>126</v>
      </c>
      <c r="H48" s="226" t="s">
        <v>126</v>
      </c>
      <c r="I48" s="226" t="s">
        <v>126</v>
      </c>
      <c r="J48" s="226" t="s">
        <v>126</v>
      </c>
      <c r="K48" s="226" t="s">
        <v>126</v>
      </c>
      <c r="L48" s="187">
        <f>BEaH24!T46</f>
        <v>0.13225326500247975</v>
      </c>
      <c r="M48" s="216">
        <f>BEaH25!T46</f>
        <v>4.6382189239332093E-2</v>
      </c>
    </row>
    <row r="49" spans="2:29" ht="27.6" hidden="1" customHeight="1" x14ac:dyDescent="0.35">
      <c r="B49" s="230" t="s">
        <v>144</v>
      </c>
      <c r="C49" s="184">
        <f t="shared" si="4"/>
        <v>0.11428571428571428</v>
      </c>
      <c r="D49" s="226" t="s">
        <v>126</v>
      </c>
      <c r="E49" s="226" t="s">
        <v>126</v>
      </c>
      <c r="F49" s="226" t="s">
        <v>126</v>
      </c>
      <c r="G49" s="226" t="s">
        <v>126</v>
      </c>
      <c r="H49" s="226" t="s">
        <v>126</v>
      </c>
      <c r="I49" s="226" t="s">
        <v>126</v>
      </c>
      <c r="J49" s="226" t="s">
        <v>126</v>
      </c>
      <c r="K49" s="226" t="s">
        <v>126</v>
      </c>
      <c r="L49" s="187">
        <f>BEaH24!T47</f>
        <v>1.1428571428571428</v>
      </c>
      <c r="M49" s="216">
        <f>BEaH25!T47</f>
        <v>0</v>
      </c>
    </row>
    <row r="50" spans="2:29" ht="13.05" hidden="1" customHeight="1" x14ac:dyDescent="0.35">
      <c r="B50" s="183" t="s">
        <v>145</v>
      </c>
      <c r="C50" s="184">
        <f>SUM(D50:M50)/10</f>
        <v>6.3823850200961388E-2</v>
      </c>
      <c r="D50" s="226" t="s">
        <v>126</v>
      </c>
      <c r="E50" s="226" t="s">
        <v>126</v>
      </c>
      <c r="F50" s="226" t="s">
        <v>126</v>
      </c>
      <c r="G50" s="226" t="s">
        <v>126</v>
      </c>
      <c r="H50" s="226" t="s">
        <v>126</v>
      </c>
      <c r="I50" s="226" t="s">
        <v>126</v>
      </c>
      <c r="J50" s="226" t="s">
        <v>126</v>
      </c>
      <c r="K50" s="226" t="s">
        <v>126</v>
      </c>
      <c r="L50" s="187">
        <f>BEaH24!T48</f>
        <v>0.4451510333863275</v>
      </c>
      <c r="M50" s="216">
        <f>BEaH25!T48</f>
        <v>0.19308746862328635</v>
      </c>
    </row>
    <row r="51" spans="2:29" ht="30.6" thickBot="1" x14ac:dyDescent="0.4">
      <c r="B51" s="231" t="s">
        <v>146</v>
      </c>
      <c r="C51" s="191">
        <f>SUM(D51:M51)/10</f>
        <v>0.13539127622517177</v>
      </c>
      <c r="D51" s="194">
        <v>0.130718619201284</v>
      </c>
      <c r="E51" s="232">
        <v>0.130718619201284</v>
      </c>
      <c r="F51" s="219">
        <v>0.12204212280214601</v>
      </c>
      <c r="G51" s="219">
        <v>0.12204212280214601</v>
      </c>
      <c r="H51" s="232">
        <v>0.13</v>
      </c>
      <c r="I51" s="232">
        <v>0.14000000000000001</v>
      </c>
      <c r="J51" s="233">
        <f>BEaH21!N36</f>
        <v>0.1358072710126442</v>
      </c>
      <c r="K51" s="196">
        <f>BEaH23!N37</f>
        <v>0.13436996245733063</v>
      </c>
      <c r="L51" s="195">
        <f>BEaH24!T49</f>
        <v>0.16021789633902106</v>
      </c>
      <c r="M51" s="216">
        <f>BEaH25!T49</f>
        <v>0.1479961484358619</v>
      </c>
    </row>
    <row r="52" spans="2:29" ht="13.05" customHeight="1" thickBot="1" x14ac:dyDescent="0.4">
      <c r="B52" s="234" t="s">
        <v>22</v>
      </c>
      <c r="C52" s="235">
        <f>SUM(D52:M52)/10</f>
        <v>0.14919280698682078</v>
      </c>
      <c r="D52" s="236">
        <v>0.13463324048282299</v>
      </c>
      <c r="E52" s="221">
        <v>0.13887976406864799</v>
      </c>
      <c r="F52" s="237">
        <v>0.12971851083149599</v>
      </c>
      <c r="G52" s="238">
        <v>0.12971851083149599</v>
      </c>
      <c r="H52" s="221">
        <v>0.14000000000000001</v>
      </c>
      <c r="I52" s="221">
        <v>0.15</v>
      </c>
      <c r="J52" s="237">
        <f>BEaH21!N37</f>
        <v>0.14605444816565938</v>
      </c>
      <c r="K52" s="221">
        <f>BEaH23!N38</f>
        <v>0.1520095463975718</v>
      </c>
      <c r="L52" s="201">
        <f>BEaH24!T50</f>
        <v>0.19225505402692875</v>
      </c>
      <c r="M52" s="203">
        <f>BEaH25!T50</f>
        <v>0.17865899506358496</v>
      </c>
    </row>
    <row r="53" spans="2:29" s="209" customFormat="1" ht="20.25" customHeight="1" thickBot="1" x14ac:dyDescent="0.4"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7"/>
      <c r="N53" s="208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</row>
    <row r="54" spans="2:29" ht="45" customHeight="1" thickBot="1" x14ac:dyDescent="0.4">
      <c r="B54" s="170" t="s">
        <v>73</v>
      </c>
      <c r="C54" s="329" t="s">
        <v>109</v>
      </c>
      <c r="D54" s="556" t="s">
        <v>75</v>
      </c>
      <c r="E54" s="557"/>
      <c r="F54" s="557"/>
      <c r="G54" s="557"/>
      <c r="H54" s="557"/>
      <c r="I54" s="557"/>
      <c r="J54" s="557"/>
      <c r="K54" s="557"/>
      <c r="L54" s="557"/>
      <c r="M54" s="558"/>
    </row>
    <row r="55" spans="2:29" ht="25.5" customHeight="1" thickBot="1" x14ac:dyDescent="0.4">
      <c r="B55" s="171" t="s">
        <v>180</v>
      </c>
      <c r="C55" s="172" t="s">
        <v>74</v>
      </c>
      <c r="D55" s="173">
        <v>2016</v>
      </c>
      <c r="E55" s="173">
        <v>2017</v>
      </c>
      <c r="F55" s="175">
        <v>2018</v>
      </c>
      <c r="G55" s="175">
        <v>2019</v>
      </c>
      <c r="H55" s="176">
        <v>2020</v>
      </c>
      <c r="I55" s="173">
        <v>2021</v>
      </c>
      <c r="J55" s="173">
        <v>2022</v>
      </c>
      <c r="K55" s="173">
        <v>2023</v>
      </c>
      <c r="L55" s="173">
        <v>2024</v>
      </c>
      <c r="M55" s="177">
        <v>2025</v>
      </c>
    </row>
    <row r="56" spans="2:29" x14ac:dyDescent="0.35">
      <c r="B56" s="225" t="s">
        <v>64</v>
      </c>
      <c r="C56" s="184">
        <f>SUM(D56:M56)/10</f>
        <v>0.38642984123026497</v>
      </c>
      <c r="D56" s="187">
        <f>BEaH16!N40</f>
        <v>0.55172413793103448</v>
      </c>
      <c r="E56" s="187">
        <f>BEaH17!N40</f>
        <v>0.25510204081632654</v>
      </c>
      <c r="F56" s="187">
        <f>BEaH18!N40</f>
        <v>0.44843049327354262</v>
      </c>
      <c r="G56" s="187">
        <f>BEaH19!N40</f>
        <v>0</v>
      </c>
      <c r="H56" s="187">
        <f>BEaH20!N40</f>
        <v>9.7134531325886356E-2</v>
      </c>
      <c r="I56" s="187">
        <f>BEaH21!N40</f>
        <v>0</v>
      </c>
      <c r="J56" s="187">
        <f>BEaH22!N40</f>
        <v>0.38585209003215432</v>
      </c>
      <c r="K56" s="187">
        <f>BEaH23!N41</f>
        <v>0.61012812690665041</v>
      </c>
      <c r="L56" s="187">
        <f>BEaH24!T54</f>
        <v>0.92699884125144849</v>
      </c>
      <c r="M56" s="216">
        <f>BEaH25!T54</f>
        <v>0.58892815076560656</v>
      </c>
    </row>
    <row r="57" spans="2:29" ht="30.6" thickBot="1" x14ac:dyDescent="0.4">
      <c r="B57" s="231" t="s">
        <v>27</v>
      </c>
      <c r="C57" s="191">
        <f>SUM(D57:M57)/10</f>
        <v>4.4265842259975111E-2</v>
      </c>
      <c r="D57" s="194">
        <f>BEaH16!N41</f>
        <v>4.5022528989900064E-2</v>
      </c>
      <c r="E57" s="232">
        <f>BEaH17!N41</f>
        <v>3.6804127724478636E-2</v>
      </c>
      <c r="F57" s="219">
        <f>BEaH18!N41</f>
        <v>3.9416128567079524E-2</v>
      </c>
      <c r="G57" s="219">
        <f>BEaH19!N41</f>
        <v>3.4965245751421216E-2</v>
      </c>
      <c r="H57" s="232">
        <f>BEaH20!N41</f>
        <v>3.4007050795198203E-2</v>
      </c>
      <c r="I57" s="232">
        <f>BEaH21!N41</f>
        <v>4.4030270811182687E-2</v>
      </c>
      <c r="J57" s="233">
        <f>BEaH22!N41</f>
        <v>4.5924225028702644E-2</v>
      </c>
      <c r="K57" s="196">
        <f>BEaH23!N42</f>
        <v>5.4218023183070632E-2</v>
      </c>
      <c r="L57" s="195">
        <f>BEaH24!T55</f>
        <v>5.2227590057867056E-2</v>
      </c>
      <c r="M57" s="216">
        <f>BEaH25!T55</f>
        <v>5.6043231690850431E-2</v>
      </c>
    </row>
    <row r="58" spans="2:29" ht="15.6" thickBot="1" x14ac:dyDescent="0.4">
      <c r="B58" s="234" t="s">
        <v>22</v>
      </c>
      <c r="C58" s="235">
        <f>SUM(D58:M58)/10</f>
        <v>0.10653710628803111</v>
      </c>
      <c r="D58" s="236">
        <f>BEaH16!N42</f>
        <v>4.632150661584266E-2</v>
      </c>
      <c r="E58" s="221">
        <f>BEaH17!N42</f>
        <v>3.7408111913777832E-2</v>
      </c>
      <c r="F58" s="237">
        <f>BEaH18!N42</f>
        <v>4.0581951576465027E-2</v>
      </c>
      <c r="G58" s="238">
        <f>BEaH19!N42</f>
        <v>3.486624586714758E-2</v>
      </c>
      <c r="H58" s="221">
        <f>BEaH20!N42</f>
        <v>3.4373265488396205E-2</v>
      </c>
      <c r="I58" s="221">
        <f>BEaH21!N42</f>
        <v>4.3770097562552693E-2</v>
      </c>
      <c r="J58" s="237">
        <f>BEaH22!N42</f>
        <v>4.7346192128695556E-2</v>
      </c>
      <c r="K58" s="221">
        <f>BEaH23!N43</f>
        <v>0.66434615008972109</v>
      </c>
      <c r="L58" s="201">
        <f>BEaH24!T56</f>
        <v>5.6402047062531623E-2</v>
      </c>
      <c r="M58" s="203">
        <f>BEaH25!T56</f>
        <v>5.9955494575180734E-2</v>
      </c>
    </row>
  </sheetData>
  <mergeCells count="6">
    <mergeCell ref="D54:M54"/>
    <mergeCell ref="D4:M4"/>
    <mergeCell ref="D13:M13"/>
    <mergeCell ref="D28:M28"/>
    <mergeCell ref="B1:M1"/>
    <mergeCell ref="B2:M2"/>
  </mergeCells>
  <phoneticPr fontId="20" type="noConversion"/>
  <pageMargins left="0.78740157480314965" right="0.78740157480314965" top="0.98425196850393704" bottom="0.98425196850393704" header="0.51181102362204722" footer="0.51181102362204722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A84F-E002-4E3E-BCC0-63E72345AC6C}">
  <dimension ref="A1:AE4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50" sqref="K50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122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221</v>
      </c>
      <c r="C6" s="97">
        <v>90</v>
      </c>
      <c r="D6" s="97">
        <v>229</v>
      </c>
      <c r="E6" s="137">
        <v>102</v>
      </c>
      <c r="F6" s="97">
        <v>78</v>
      </c>
      <c r="G6" s="98">
        <f>SUM(B6:F6)</f>
        <v>720</v>
      </c>
      <c r="H6" s="97">
        <v>3</v>
      </c>
      <c r="I6" s="97">
        <v>1</v>
      </c>
      <c r="J6" s="97">
        <v>1</v>
      </c>
      <c r="K6" s="97">
        <v>4</v>
      </c>
      <c r="L6" s="97">
        <v>0</v>
      </c>
      <c r="M6" s="101">
        <f t="shared" ref="M6:M11" si="0">SUM(H6:L6)</f>
        <v>9</v>
      </c>
      <c r="N6" s="99">
        <f>M6*100/$G6</f>
        <v>1.25</v>
      </c>
      <c r="O6" s="97">
        <v>4</v>
      </c>
      <c r="P6" s="97">
        <v>0</v>
      </c>
      <c r="Q6" s="97">
        <v>1</v>
      </c>
      <c r="R6" s="97">
        <v>1</v>
      </c>
      <c r="S6" s="97">
        <v>0</v>
      </c>
      <c r="T6" s="101">
        <f t="shared" ref="T6:T11" si="1">SUM(O6:S6)</f>
        <v>6</v>
      </c>
      <c r="U6" s="99">
        <f>T6*100/$G6</f>
        <v>0.83333333333333337</v>
      </c>
      <c r="V6" s="97">
        <v>2</v>
      </c>
      <c r="W6" s="97">
        <v>0</v>
      </c>
      <c r="X6" s="97">
        <v>0</v>
      </c>
      <c r="Y6" s="97">
        <v>3</v>
      </c>
      <c r="Z6" s="97">
        <v>0</v>
      </c>
      <c r="AA6" s="101">
        <f t="shared" ref="AA6:AA11" si="2">SUM(V6:Z6)</f>
        <v>5</v>
      </c>
      <c r="AB6" s="99">
        <f>AA6*100/$G6</f>
        <v>0.69444444444444442</v>
      </c>
      <c r="AC6" s="101"/>
      <c r="AD6" s="101">
        <v>21</v>
      </c>
      <c r="AE6" s="101">
        <v>298</v>
      </c>
    </row>
    <row r="7" spans="1:31" ht="14.4" thickBot="1" x14ac:dyDescent="0.3">
      <c r="A7" s="90" t="s">
        <v>2</v>
      </c>
      <c r="B7" s="97">
        <v>1455</v>
      </c>
      <c r="C7" s="97">
        <v>388</v>
      </c>
      <c r="D7" s="97">
        <v>1401</v>
      </c>
      <c r="E7" s="137">
        <v>1340</v>
      </c>
      <c r="F7" s="97">
        <v>582</v>
      </c>
      <c r="G7" s="98">
        <f>SUM(B7:F7)</f>
        <v>5166</v>
      </c>
      <c r="H7" s="97">
        <v>1</v>
      </c>
      <c r="I7" s="97">
        <v>1</v>
      </c>
      <c r="J7" s="97">
        <v>6</v>
      </c>
      <c r="K7" s="97">
        <v>12</v>
      </c>
      <c r="L7" s="97">
        <v>0</v>
      </c>
      <c r="M7" s="97">
        <f t="shared" si="0"/>
        <v>20</v>
      </c>
      <c r="N7" s="99">
        <f t="shared" ref="N7:N11" si="3">M7*100/$G7</f>
        <v>0.38714672861014326</v>
      </c>
      <c r="O7" s="97">
        <v>15</v>
      </c>
      <c r="P7" s="97">
        <v>2</v>
      </c>
      <c r="Q7" s="97">
        <v>17</v>
      </c>
      <c r="R7" s="97">
        <v>19</v>
      </c>
      <c r="S7" s="97">
        <v>2</v>
      </c>
      <c r="T7" s="97">
        <f t="shared" si="1"/>
        <v>55</v>
      </c>
      <c r="U7" s="99">
        <f t="shared" ref="U7:U11" si="4">T7*100/$G7</f>
        <v>1.0646535036778939</v>
      </c>
      <c r="V7" s="97">
        <v>22</v>
      </c>
      <c r="W7" s="97">
        <v>0</v>
      </c>
      <c r="X7" s="97">
        <v>18</v>
      </c>
      <c r="Y7" s="97">
        <v>13</v>
      </c>
      <c r="Z7" s="97">
        <v>9</v>
      </c>
      <c r="AA7" s="97">
        <f t="shared" si="2"/>
        <v>62</v>
      </c>
      <c r="AB7" s="99">
        <f t="shared" ref="AB7:AB11" si="5">AA7*100/$G7</f>
        <v>1.2001548586914441</v>
      </c>
      <c r="AC7" s="101"/>
      <c r="AD7" s="101">
        <v>3</v>
      </c>
      <c r="AE7" s="101">
        <v>300</v>
      </c>
    </row>
    <row r="8" spans="1:31" ht="14.4" thickBot="1" x14ac:dyDescent="0.3">
      <c r="A8" s="90" t="s">
        <v>14</v>
      </c>
      <c r="B8" s="97">
        <v>152</v>
      </c>
      <c r="C8" s="97">
        <v>82</v>
      </c>
      <c r="D8" s="97">
        <v>205</v>
      </c>
      <c r="E8" s="137">
        <v>226</v>
      </c>
      <c r="F8" s="97">
        <v>74</v>
      </c>
      <c r="G8" s="98">
        <f>SUM(B8:F8)</f>
        <v>739</v>
      </c>
      <c r="H8" s="97">
        <v>1</v>
      </c>
      <c r="I8" s="97">
        <v>0</v>
      </c>
      <c r="J8" s="97">
        <v>0</v>
      </c>
      <c r="K8" s="97">
        <v>1</v>
      </c>
      <c r="L8" s="97">
        <v>0</v>
      </c>
      <c r="M8" s="101">
        <f t="shared" si="0"/>
        <v>2</v>
      </c>
      <c r="N8" s="99">
        <f t="shared" si="3"/>
        <v>0.2706359945872801</v>
      </c>
      <c r="O8" s="97">
        <v>0</v>
      </c>
      <c r="P8" s="97">
        <v>1</v>
      </c>
      <c r="Q8" s="97">
        <v>0</v>
      </c>
      <c r="R8" s="97">
        <v>0</v>
      </c>
      <c r="S8" s="97">
        <v>0</v>
      </c>
      <c r="T8" s="101">
        <f t="shared" si="1"/>
        <v>1</v>
      </c>
      <c r="U8" s="99">
        <f t="shared" si="4"/>
        <v>0.13531799729364005</v>
      </c>
      <c r="V8" s="97">
        <v>1</v>
      </c>
      <c r="W8" s="97">
        <v>0</v>
      </c>
      <c r="X8" s="97">
        <v>0</v>
      </c>
      <c r="Y8" s="97">
        <v>0</v>
      </c>
      <c r="Z8" s="97">
        <v>0</v>
      </c>
      <c r="AA8" s="101">
        <f t="shared" si="2"/>
        <v>1</v>
      </c>
      <c r="AB8" s="99">
        <f t="shared" si="5"/>
        <v>0.13531799729364005</v>
      </c>
      <c r="AC8" s="101"/>
      <c r="AD8" s="101">
        <v>1</v>
      </c>
      <c r="AE8" s="101">
        <v>33</v>
      </c>
    </row>
    <row r="9" spans="1:31" ht="14.4" thickBot="1" x14ac:dyDescent="0.3">
      <c r="A9" s="90" t="s">
        <v>3</v>
      </c>
      <c r="B9" s="97">
        <v>214</v>
      </c>
      <c r="C9" s="97">
        <v>90</v>
      </c>
      <c r="D9" s="97">
        <v>297</v>
      </c>
      <c r="E9" s="137">
        <v>257</v>
      </c>
      <c r="F9" s="97">
        <v>81</v>
      </c>
      <c r="G9" s="98">
        <f>SUM(B9:F9)</f>
        <v>939</v>
      </c>
      <c r="H9" s="97">
        <v>0</v>
      </c>
      <c r="I9" s="97">
        <v>0</v>
      </c>
      <c r="J9" s="97">
        <v>1</v>
      </c>
      <c r="K9" s="97">
        <v>0</v>
      </c>
      <c r="L9" s="97">
        <v>0</v>
      </c>
      <c r="M9" s="97">
        <f t="shared" si="0"/>
        <v>1</v>
      </c>
      <c r="N9" s="99">
        <f t="shared" si="3"/>
        <v>0.10649627263045794</v>
      </c>
      <c r="O9" s="97">
        <v>2</v>
      </c>
      <c r="P9" s="97">
        <v>0</v>
      </c>
      <c r="Q9" s="97">
        <v>2</v>
      </c>
      <c r="R9" s="97">
        <v>2</v>
      </c>
      <c r="S9" s="97">
        <v>0</v>
      </c>
      <c r="T9" s="97">
        <f t="shared" si="1"/>
        <v>6</v>
      </c>
      <c r="U9" s="99">
        <f t="shared" si="4"/>
        <v>0.63897763578274758</v>
      </c>
      <c r="V9" s="97">
        <v>1</v>
      </c>
      <c r="W9" s="97">
        <v>0</v>
      </c>
      <c r="X9" s="97">
        <v>0</v>
      </c>
      <c r="Y9" s="97">
        <v>7</v>
      </c>
      <c r="Z9" s="97">
        <v>0</v>
      </c>
      <c r="AA9" s="97">
        <f t="shared" si="2"/>
        <v>8</v>
      </c>
      <c r="AB9" s="99">
        <f t="shared" si="5"/>
        <v>0.85197018104366351</v>
      </c>
      <c r="AC9" s="101"/>
      <c r="AD9" s="101">
        <v>0</v>
      </c>
      <c r="AE9" s="101">
        <v>28</v>
      </c>
    </row>
    <row r="10" spans="1:31" ht="23.4" thickBot="1" x14ac:dyDescent="0.3">
      <c r="A10" s="139" t="s">
        <v>23</v>
      </c>
      <c r="B10" s="97">
        <v>1133</v>
      </c>
      <c r="C10" s="97">
        <v>217</v>
      </c>
      <c r="D10" s="97">
        <v>855</v>
      </c>
      <c r="E10" s="137">
        <v>620</v>
      </c>
      <c r="F10" s="97">
        <v>332</v>
      </c>
      <c r="G10" s="98">
        <f>SUM(B10:F10)</f>
        <v>3157</v>
      </c>
      <c r="H10" s="97">
        <v>2</v>
      </c>
      <c r="I10" s="97">
        <v>0</v>
      </c>
      <c r="J10" s="97">
        <v>2</v>
      </c>
      <c r="K10" s="97">
        <v>5</v>
      </c>
      <c r="L10" s="97">
        <v>1</v>
      </c>
      <c r="M10" s="97">
        <f t="shared" si="0"/>
        <v>10</v>
      </c>
      <c r="N10" s="99">
        <f t="shared" si="3"/>
        <v>0.31675641431738993</v>
      </c>
      <c r="O10" s="97">
        <v>6</v>
      </c>
      <c r="P10" s="97">
        <v>2</v>
      </c>
      <c r="Q10" s="97">
        <v>5</v>
      </c>
      <c r="R10" s="97">
        <v>5</v>
      </c>
      <c r="S10" s="97">
        <v>2</v>
      </c>
      <c r="T10" s="97">
        <f t="shared" si="1"/>
        <v>20</v>
      </c>
      <c r="U10" s="99">
        <f t="shared" si="4"/>
        <v>0.63351282863477987</v>
      </c>
      <c r="V10" s="97">
        <v>25</v>
      </c>
      <c r="W10" s="97">
        <v>0</v>
      </c>
      <c r="X10" s="97">
        <v>0</v>
      </c>
      <c r="Y10" s="97">
        <v>2</v>
      </c>
      <c r="Z10" s="97">
        <v>6</v>
      </c>
      <c r="AA10" s="97">
        <f t="shared" si="2"/>
        <v>33</v>
      </c>
      <c r="AB10" s="99">
        <f t="shared" si="5"/>
        <v>1.0452961672473868</v>
      </c>
      <c r="AC10" s="101"/>
      <c r="AD10" s="101">
        <v>1</v>
      </c>
      <c r="AE10" s="101">
        <v>276</v>
      </c>
    </row>
    <row r="11" spans="1:31" s="132" customFormat="1" ht="14.4" thickBot="1" x14ac:dyDescent="0.3">
      <c r="A11" s="124" t="s">
        <v>21</v>
      </c>
      <c r="B11" s="105">
        <f t="shared" ref="B11:L11" si="6">SUM(B6:B10)</f>
        <v>3175</v>
      </c>
      <c r="C11" s="105">
        <f t="shared" si="6"/>
        <v>867</v>
      </c>
      <c r="D11" s="105">
        <f t="shared" si="6"/>
        <v>2987</v>
      </c>
      <c r="E11" s="105">
        <f t="shared" si="6"/>
        <v>2545</v>
      </c>
      <c r="F11" s="105">
        <f t="shared" si="6"/>
        <v>1147</v>
      </c>
      <c r="G11" s="102">
        <f t="shared" si="6"/>
        <v>10721</v>
      </c>
      <c r="H11" s="111">
        <f t="shared" si="6"/>
        <v>7</v>
      </c>
      <c r="I11" s="111">
        <f t="shared" si="6"/>
        <v>2</v>
      </c>
      <c r="J11" s="111">
        <f t="shared" si="6"/>
        <v>10</v>
      </c>
      <c r="K11" s="111">
        <f t="shared" si="6"/>
        <v>22</v>
      </c>
      <c r="L11" s="111">
        <f t="shared" si="6"/>
        <v>1</v>
      </c>
      <c r="M11" s="103">
        <f t="shared" si="0"/>
        <v>42</v>
      </c>
      <c r="N11" s="104">
        <f t="shared" si="3"/>
        <v>0.39175450051301186</v>
      </c>
      <c r="O11" s="111">
        <f t="shared" ref="O11:S11" si="7">SUM(O6:O10)</f>
        <v>27</v>
      </c>
      <c r="P11" s="111">
        <f t="shared" si="7"/>
        <v>5</v>
      </c>
      <c r="Q11" s="111">
        <f t="shared" si="7"/>
        <v>25</v>
      </c>
      <c r="R11" s="111">
        <f t="shared" si="7"/>
        <v>27</v>
      </c>
      <c r="S11" s="111">
        <f t="shared" si="7"/>
        <v>4</v>
      </c>
      <c r="T11" s="103">
        <f t="shared" si="1"/>
        <v>88</v>
      </c>
      <c r="U11" s="104">
        <f t="shared" si="4"/>
        <v>0.82081895345583433</v>
      </c>
      <c r="V11" s="111">
        <f t="shared" ref="V11:Z11" si="8">SUM(V6:V10)</f>
        <v>51</v>
      </c>
      <c r="W11" s="111">
        <f t="shared" si="8"/>
        <v>0</v>
      </c>
      <c r="X11" s="111">
        <f t="shared" si="8"/>
        <v>18</v>
      </c>
      <c r="Y11" s="111">
        <f t="shared" si="8"/>
        <v>25</v>
      </c>
      <c r="Z11" s="111">
        <f t="shared" si="8"/>
        <v>15</v>
      </c>
      <c r="AA11" s="103">
        <f t="shared" si="2"/>
        <v>109</v>
      </c>
      <c r="AB11" s="104">
        <f t="shared" si="5"/>
        <v>1.0166962037123404</v>
      </c>
      <c r="AC11" s="107">
        <f>SUM(AC6:AC10)</f>
        <v>0</v>
      </c>
      <c r="AD11" s="107">
        <f>SUM(AD6:AD10)</f>
        <v>26</v>
      </c>
      <c r="AE11" s="107">
        <f>SUM(AE6:AE10)</f>
        <v>935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27</v>
      </c>
      <c r="C14" s="97">
        <v>8</v>
      </c>
      <c r="D14" s="97">
        <v>37</v>
      </c>
      <c r="E14" s="97">
        <v>19</v>
      </c>
      <c r="F14" s="97">
        <v>18</v>
      </c>
      <c r="G14" s="98">
        <f t="shared" ref="G14:G25" si="9">SUM(B14:F14)</f>
        <v>109</v>
      </c>
      <c r="H14" s="97">
        <v>0</v>
      </c>
      <c r="I14" s="97">
        <v>0</v>
      </c>
      <c r="J14" s="97">
        <v>0</v>
      </c>
      <c r="K14" s="97">
        <v>1</v>
      </c>
      <c r="L14" s="97">
        <v>0</v>
      </c>
      <c r="M14" s="101">
        <f>SUM(H14:L14)</f>
        <v>1</v>
      </c>
      <c r="N14" s="99">
        <f>M14*100/$G14</f>
        <v>0.91743119266055051</v>
      </c>
      <c r="O14" s="97">
        <v>0</v>
      </c>
      <c r="P14" s="97">
        <v>0</v>
      </c>
      <c r="Q14" s="97">
        <v>0</v>
      </c>
      <c r="R14" s="97">
        <v>2</v>
      </c>
      <c r="S14" s="97">
        <v>0</v>
      </c>
      <c r="T14" s="101">
        <f>SUM(O14:S14)</f>
        <v>2</v>
      </c>
      <c r="U14" s="99">
        <f>T14*100/$G14</f>
        <v>1.834862385321101</v>
      </c>
      <c r="V14" s="97">
        <v>0</v>
      </c>
      <c r="W14" s="97">
        <v>0</v>
      </c>
      <c r="X14" s="97">
        <v>1</v>
      </c>
      <c r="Y14" s="97">
        <v>0</v>
      </c>
      <c r="Z14" s="97">
        <v>0</v>
      </c>
      <c r="AA14" s="101">
        <f>SUM(V14:Z14)</f>
        <v>1</v>
      </c>
      <c r="AB14" s="99">
        <f>AA14*100/$G14</f>
        <v>0.91743119266055051</v>
      </c>
      <c r="AC14" s="101"/>
      <c r="AD14" s="101">
        <v>0</v>
      </c>
      <c r="AE14" s="101">
        <v>1</v>
      </c>
    </row>
    <row r="15" spans="1:31" ht="14.4" thickBot="1" x14ac:dyDescent="0.3">
      <c r="A15" s="89" t="s">
        <v>5</v>
      </c>
      <c r="B15" s="97">
        <v>83</v>
      </c>
      <c r="C15" s="97">
        <v>21</v>
      </c>
      <c r="D15" s="97">
        <v>128</v>
      </c>
      <c r="E15" s="97">
        <v>123</v>
      </c>
      <c r="F15" s="97">
        <v>37</v>
      </c>
      <c r="G15" s="98">
        <f t="shared" si="9"/>
        <v>392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f t="shared" ref="M15:M25" si="10">SUM(H15:L15)</f>
        <v>0</v>
      </c>
      <c r="N15" s="99">
        <f t="shared" ref="N15:N25" si="11">M15*100/$G15</f>
        <v>0</v>
      </c>
      <c r="O15" s="97">
        <v>1</v>
      </c>
      <c r="P15" s="97">
        <v>0</v>
      </c>
      <c r="Q15" s="97">
        <v>0</v>
      </c>
      <c r="R15" s="97">
        <v>2</v>
      </c>
      <c r="S15" s="97">
        <v>0</v>
      </c>
      <c r="T15" s="97">
        <f t="shared" ref="T15:T25" si="12">SUM(O15:S15)</f>
        <v>3</v>
      </c>
      <c r="U15" s="99">
        <f t="shared" ref="U15:U25" si="13">T15*100/$G15</f>
        <v>0.76530612244897955</v>
      </c>
      <c r="V15" s="97">
        <v>2</v>
      </c>
      <c r="W15" s="97">
        <v>0</v>
      </c>
      <c r="X15" s="97">
        <v>0</v>
      </c>
      <c r="Y15" s="97">
        <v>0</v>
      </c>
      <c r="Z15" s="97">
        <v>1</v>
      </c>
      <c r="AA15" s="97">
        <f t="shared" ref="AA15:AA25" si="14">SUM(V15:Z15)</f>
        <v>3</v>
      </c>
      <c r="AB15" s="99">
        <f t="shared" ref="AB15:AB25" si="15">AA15*100/$G15</f>
        <v>0.76530612244897955</v>
      </c>
      <c r="AC15" s="101"/>
      <c r="AD15" s="101">
        <v>0</v>
      </c>
      <c r="AE15" s="101">
        <v>188</v>
      </c>
    </row>
    <row r="16" spans="1:31" ht="14.4" thickBot="1" x14ac:dyDescent="0.3">
      <c r="A16" s="89" t="s">
        <v>6</v>
      </c>
      <c r="B16" s="109">
        <v>57</v>
      </c>
      <c r="C16" s="97">
        <v>30</v>
      </c>
      <c r="D16" s="97">
        <v>52</v>
      </c>
      <c r="E16" s="97">
        <v>53</v>
      </c>
      <c r="F16" s="97">
        <v>26</v>
      </c>
      <c r="G16" s="98">
        <f t="shared" si="9"/>
        <v>218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f t="shared" si="10"/>
        <v>0</v>
      </c>
      <c r="N16" s="99">
        <f t="shared" si="11"/>
        <v>0</v>
      </c>
      <c r="O16" s="97">
        <v>1</v>
      </c>
      <c r="P16" s="97">
        <v>1</v>
      </c>
      <c r="Q16" s="97">
        <v>0</v>
      </c>
      <c r="R16" s="97">
        <v>0</v>
      </c>
      <c r="S16" s="97">
        <v>0</v>
      </c>
      <c r="T16" s="101">
        <f t="shared" si="12"/>
        <v>2</v>
      </c>
      <c r="U16" s="99">
        <f t="shared" si="13"/>
        <v>0.91743119266055051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101">
        <f t="shared" si="14"/>
        <v>0</v>
      </c>
      <c r="AB16" s="99">
        <f t="shared" si="15"/>
        <v>0</v>
      </c>
      <c r="AC16" s="101"/>
      <c r="AD16" s="101">
        <v>0</v>
      </c>
      <c r="AE16" s="101">
        <v>27</v>
      </c>
    </row>
    <row r="17" spans="1:31" ht="14.4" thickBot="1" x14ac:dyDescent="0.3">
      <c r="A17" s="89" t="s">
        <v>7</v>
      </c>
      <c r="B17" s="97">
        <v>22</v>
      </c>
      <c r="C17" s="97">
        <v>13</v>
      </c>
      <c r="D17" s="97">
        <v>53</v>
      </c>
      <c r="E17" s="97">
        <v>33</v>
      </c>
      <c r="F17" s="97">
        <v>13</v>
      </c>
      <c r="G17" s="98">
        <f t="shared" si="9"/>
        <v>134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 t="shared" si="10"/>
        <v>0</v>
      </c>
      <c r="N17" s="99">
        <f t="shared" si="11"/>
        <v>0</v>
      </c>
      <c r="O17" s="97">
        <v>0</v>
      </c>
      <c r="P17" s="97">
        <v>0</v>
      </c>
      <c r="Q17" s="97">
        <v>0</v>
      </c>
      <c r="R17" s="97">
        <v>2</v>
      </c>
      <c r="S17" s="97">
        <v>0</v>
      </c>
      <c r="T17" s="97">
        <f t="shared" si="12"/>
        <v>2</v>
      </c>
      <c r="U17" s="99">
        <f t="shared" si="13"/>
        <v>1.4925373134328359</v>
      </c>
      <c r="V17" s="97">
        <v>0</v>
      </c>
      <c r="W17" s="97">
        <v>0</v>
      </c>
      <c r="X17" s="97">
        <v>0</v>
      </c>
      <c r="Y17" s="97">
        <v>2</v>
      </c>
      <c r="Z17" s="97">
        <v>0</v>
      </c>
      <c r="AA17" s="97">
        <f t="shared" si="14"/>
        <v>2</v>
      </c>
      <c r="AB17" s="99">
        <f t="shared" si="15"/>
        <v>1.4925373134328359</v>
      </c>
      <c r="AC17" s="101"/>
      <c r="AD17" s="101">
        <v>0</v>
      </c>
      <c r="AE17" s="101">
        <v>1</v>
      </c>
    </row>
    <row r="18" spans="1:31" ht="14.4" thickBot="1" x14ac:dyDescent="0.3">
      <c r="A18" s="89" t="s">
        <v>8</v>
      </c>
      <c r="B18" s="97">
        <v>3</v>
      </c>
      <c r="C18" s="97">
        <v>5</v>
      </c>
      <c r="D18" s="97">
        <v>6</v>
      </c>
      <c r="E18" s="97">
        <v>18</v>
      </c>
      <c r="F18" s="97">
        <v>4</v>
      </c>
      <c r="G18" s="98">
        <f t="shared" si="9"/>
        <v>36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 t="shared" si="10"/>
        <v>0</v>
      </c>
      <c r="N18" s="99">
        <f t="shared" si="11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f t="shared" si="12"/>
        <v>0</v>
      </c>
      <c r="U18" s="99">
        <f t="shared" si="13"/>
        <v>0</v>
      </c>
      <c r="V18" s="97">
        <v>0</v>
      </c>
      <c r="W18" s="97">
        <v>0</v>
      </c>
      <c r="X18" s="97">
        <v>0</v>
      </c>
      <c r="Y18" s="97">
        <v>1</v>
      </c>
      <c r="Z18" s="97">
        <v>0</v>
      </c>
      <c r="AA18" s="97">
        <f t="shared" si="14"/>
        <v>1</v>
      </c>
      <c r="AB18" s="99">
        <f t="shared" si="15"/>
        <v>2.7777777777777777</v>
      </c>
      <c r="AC18" s="101"/>
      <c r="AD18" s="101">
        <v>0</v>
      </c>
      <c r="AE18" s="101">
        <v>3</v>
      </c>
    </row>
    <row r="19" spans="1:31" ht="14.4" thickBot="1" x14ac:dyDescent="0.3">
      <c r="A19" s="89" t="s">
        <v>9</v>
      </c>
      <c r="B19" s="97">
        <v>44</v>
      </c>
      <c r="C19" s="97">
        <v>10</v>
      </c>
      <c r="D19" s="97">
        <v>29</v>
      </c>
      <c r="E19" s="97">
        <v>33</v>
      </c>
      <c r="F19" s="97">
        <v>17</v>
      </c>
      <c r="G19" s="98">
        <f t="shared" si="9"/>
        <v>133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f t="shared" si="10"/>
        <v>0</v>
      </c>
      <c r="N19" s="99">
        <f t="shared" si="11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12"/>
        <v>0</v>
      </c>
      <c r="U19" s="99">
        <f t="shared" si="13"/>
        <v>0</v>
      </c>
      <c r="V19" s="97">
        <v>1</v>
      </c>
      <c r="W19" s="97">
        <v>1</v>
      </c>
      <c r="X19" s="97">
        <v>0</v>
      </c>
      <c r="Y19" s="97">
        <v>0</v>
      </c>
      <c r="Z19" s="97">
        <v>0</v>
      </c>
      <c r="AA19" s="101">
        <f t="shared" si="14"/>
        <v>2</v>
      </c>
      <c r="AB19" s="99">
        <f t="shared" si="15"/>
        <v>1.5037593984962405</v>
      </c>
      <c r="AC19" s="101"/>
      <c r="AD19" s="101">
        <v>0</v>
      </c>
      <c r="AE19" s="101">
        <v>8</v>
      </c>
    </row>
    <row r="20" spans="1:31" ht="14.4" thickBot="1" x14ac:dyDescent="0.3">
      <c r="A20" s="89" t="s">
        <v>10</v>
      </c>
      <c r="B20" s="97">
        <v>14</v>
      </c>
      <c r="C20" s="97">
        <v>7</v>
      </c>
      <c r="D20" s="97">
        <v>7</v>
      </c>
      <c r="E20" s="97">
        <v>21</v>
      </c>
      <c r="F20" s="97">
        <v>4</v>
      </c>
      <c r="G20" s="98">
        <f t="shared" si="9"/>
        <v>53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10"/>
        <v>0</v>
      </c>
      <c r="N20" s="99">
        <f t="shared" si="11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12"/>
        <v>0</v>
      </c>
      <c r="U20" s="99">
        <f t="shared" si="13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14"/>
        <v>0</v>
      </c>
      <c r="AB20" s="99">
        <f t="shared" si="15"/>
        <v>0</v>
      </c>
      <c r="AC20" s="101"/>
      <c r="AD20" s="101">
        <v>0</v>
      </c>
      <c r="AE20" s="101">
        <v>0</v>
      </c>
    </row>
    <row r="21" spans="1:31" ht="14.4" thickBot="1" x14ac:dyDescent="0.3">
      <c r="A21" s="89" t="s">
        <v>11</v>
      </c>
      <c r="B21" s="97">
        <v>35</v>
      </c>
      <c r="C21" s="97">
        <v>12</v>
      </c>
      <c r="D21" s="97">
        <v>58</v>
      </c>
      <c r="E21" s="97">
        <v>70</v>
      </c>
      <c r="F21" s="97">
        <v>12</v>
      </c>
      <c r="G21" s="98">
        <f t="shared" si="9"/>
        <v>187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f t="shared" si="10"/>
        <v>0</v>
      </c>
      <c r="N21" s="99">
        <f t="shared" si="11"/>
        <v>0</v>
      </c>
      <c r="O21" s="97">
        <v>0</v>
      </c>
      <c r="P21" s="97">
        <v>0</v>
      </c>
      <c r="Q21" s="97">
        <v>1</v>
      </c>
      <c r="R21" s="97">
        <v>4</v>
      </c>
      <c r="S21" s="97">
        <v>0</v>
      </c>
      <c r="T21" s="97">
        <f t="shared" si="12"/>
        <v>5</v>
      </c>
      <c r="U21" s="99">
        <f t="shared" si="13"/>
        <v>2.6737967914438503</v>
      </c>
      <c r="V21" s="97">
        <v>0</v>
      </c>
      <c r="W21" s="97">
        <v>0</v>
      </c>
      <c r="X21" s="97">
        <v>0</v>
      </c>
      <c r="Y21" s="97">
        <v>2</v>
      </c>
      <c r="Z21" s="97">
        <v>0</v>
      </c>
      <c r="AA21" s="97">
        <f t="shared" si="14"/>
        <v>2</v>
      </c>
      <c r="AB21" s="99">
        <f t="shared" si="15"/>
        <v>1.0695187165775402</v>
      </c>
      <c r="AC21" s="101"/>
      <c r="AD21" s="101">
        <v>0</v>
      </c>
      <c r="AE21" s="101">
        <v>16</v>
      </c>
    </row>
    <row r="22" spans="1:31" ht="14.4" thickBot="1" x14ac:dyDescent="0.3">
      <c r="A22" s="89" t="s">
        <v>12</v>
      </c>
      <c r="B22" s="97">
        <v>2057</v>
      </c>
      <c r="C22" s="97">
        <v>964</v>
      </c>
      <c r="D22" s="97">
        <v>2937</v>
      </c>
      <c r="E22" s="97">
        <v>2685</v>
      </c>
      <c r="F22" s="97">
        <v>1246</v>
      </c>
      <c r="G22" s="98">
        <f t="shared" si="9"/>
        <v>9889</v>
      </c>
      <c r="H22" s="97">
        <v>7</v>
      </c>
      <c r="I22" s="97">
        <v>5</v>
      </c>
      <c r="J22" s="97">
        <v>5</v>
      </c>
      <c r="K22" s="97">
        <v>10</v>
      </c>
      <c r="L22" s="97">
        <v>0</v>
      </c>
      <c r="M22" s="97">
        <f t="shared" si="10"/>
        <v>27</v>
      </c>
      <c r="N22" s="99">
        <f t="shared" si="11"/>
        <v>0.27303064010516737</v>
      </c>
      <c r="O22" s="97">
        <v>16</v>
      </c>
      <c r="P22" s="97">
        <v>2</v>
      </c>
      <c r="Q22" s="97">
        <v>21</v>
      </c>
      <c r="R22" s="97">
        <v>25</v>
      </c>
      <c r="S22" s="97">
        <v>4</v>
      </c>
      <c r="T22" s="97">
        <f t="shared" si="12"/>
        <v>68</v>
      </c>
      <c r="U22" s="99">
        <f t="shared" si="13"/>
        <v>0.68763272322782887</v>
      </c>
      <c r="V22" s="97">
        <v>12</v>
      </c>
      <c r="W22" s="97">
        <v>0</v>
      </c>
      <c r="X22" s="97">
        <v>18</v>
      </c>
      <c r="Y22" s="97">
        <v>26</v>
      </c>
      <c r="Z22" s="97">
        <v>12</v>
      </c>
      <c r="AA22" s="97">
        <f t="shared" si="14"/>
        <v>68</v>
      </c>
      <c r="AB22" s="99">
        <f t="shared" si="15"/>
        <v>0.68763272322782887</v>
      </c>
      <c r="AC22" s="101"/>
      <c r="AD22" s="101">
        <v>2</v>
      </c>
      <c r="AE22" s="101">
        <v>493</v>
      </c>
    </row>
    <row r="23" spans="1:31" ht="14.4" thickBot="1" x14ac:dyDescent="0.3">
      <c r="A23" s="89" t="s">
        <v>13</v>
      </c>
      <c r="B23" s="97">
        <v>4</v>
      </c>
      <c r="C23" s="97">
        <v>4</v>
      </c>
      <c r="D23" s="97">
        <v>0</v>
      </c>
      <c r="E23" s="97">
        <v>6</v>
      </c>
      <c r="F23" s="97">
        <v>11</v>
      </c>
      <c r="G23" s="98">
        <f t="shared" si="9"/>
        <v>25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 t="shared" si="10"/>
        <v>0</v>
      </c>
      <c r="N23" s="99">
        <f t="shared" si="11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f t="shared" si="12"/>
        <v>1</v>
      </c>
      <c r="U23" s="99">
        <f t="shared" si="13"/>
        <v>4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 t="shared" si="14"/>
        <v>0</v>
      </c>
      <c r="AB23" s="99">
        <f t="shared" si="15"/>
        <v>0</v>
      </c>
      <c r="AC23" s="101"/>
      <c r="AD23" s="101">
        <v>0</v>
      </c>
      <c r="AE23" s="101">
        <v>0</v>
      </c>
    </row>
    <row r="24" spans="1:31" ht="23.4" thickBot="1" x14ac:dyDescent="0.3">
      <c r="A24" s="139" t="s">
        <v>23</v>
      </c>
      <c r="B24" s="110">
        <v>193</v>
      </c>
      <c r="C24" s="110"/>
      <c r="D24" s="97"/>
      <c r="E24" s="110">
        <v>78</v>
      </c>
      <c r="F24" s="97">
        <v>89</v>
      </c>
      <c r="G24" s="98">
        <f t="shared" si="9"/>
        <v>360</v>
      </c>
      <c r="H24" s="110">
        <v>0</v>
      </c>
      <c r="I24" s="97">
        <v>0</v>
      </c>
      <c r="J24" s="97">
        <v>0</v>
      </c>
      <c r="K24" s="97">
        <v>1</v>
      </c>
      <c r="L24" s="97">
        <v>0</v>
      </c>
      <c r="M24" s="97">
        <f t="shared" si="10"/>
        <v>1</v>
      </c>
      <c r="N24" s="99">
        <f t="shared" si="11"/>
        <v>0.27777777777777779</v>
      </c>
      <c r="O24" s="110">
        <v>1</v>
      </c>
      <c r="P24" s="97">
        <v>0</v>
      </c>
      <c r="Q24" s="97">
        <v>0</v>
      </c>
      <c r="R24" s="97">
        <v>2</v>
      </c>
      <c r="S24" s="97">
        <v>0</v>
      </c>
      <c r="T24" s="97">
        <f t="shared" si="12"/>
        <v>3</v>
      </c>
      <c r="U24" s="99">
        <f t="shared" si="13"/>
        <v>0.83333333333333337</v>
      </c>
      <c r="V24" s="110">
        <v>7</v>
      </c>
      <c r="W24" s="97">
        <v>0</v>
      </c>
      <c r="X24" s="97">
        <v>0</v>
      </c>
      <c r="Y24" s="97">
        <v>2</v>
      </c>
      <c r="Z24" s="97">
        <v>0</v>
      </c>
      <c r="AA24" s="97">
        <f t="shared" si="14"/>
        <v>9</v>
      </c>
      <c r="AB24" s="99">
        <f t="shared" si="15"/>
        <v>2.5</v>
      </c>
      <c r="AC24" s="101"/>
      <c r="AD24" s="101">
        <v>0</v>
      </c>
      <c r="AE24" s="101">
        <v>26</v>
      </c>
    </row>
    <row r="25" spans="1:31" s="132" customFormat="1" ht="14.4" thickBot="1" x14ac:dyDescent="0.3">
      <c r="A25" s="128" t="s">
        <v>22</v>
      </c>
      <c r="B25" s="111">
        <f>SUM(B14:B24)</f>
        <v>2539</v>
      </c>
      <c r="C25" s="111">
        <f>SUM(C14:C24)</f>
        <v>1074</v>
      </c>
      <c r="D25" s="111">
        <f>SUM(D14:D24)</f>
        <v>3307</v>
      </c>
      <c r="E25" s="111">
        <f>SUM(E14:E24)</f>
        <v>3139</v>
      </c>
      <c r="F25" s="111">
        <f>SUM(F14:F24)</f>
        <v>1477</v>
      </c>
      <c r="G25" s="102">
        <f t="shared" si="9"/>
        <v>11536</v>
      </c>
      <c r="H25" s="111">
        <f>SUM(H14:H24)</f>
        <v>7</v>
      </c>
      <c r="I25" s="111">
        <f>SUM(I14:I24)</f>
        <v>5</v>
      </c>
      <c r="J25" s="111">
        <f>SUM(J14:J24)</f>
        <v>5</v>
      </c>
      <c r="K25" s="111">
        <f>SUM(K14:K24)</f>
        <v>12</v>
      </c>
      <c r="L25" s="111">
        <f>SUM(L14:L24)</f>
        <v>0</v>
      </c>
      <c r="M25" s="103">
        <f t="shared" si="10"/>
        <v>29</v>
      </c>
      <c r="N25" s="104">
        <f t="shared" si="11"/>
        <v>0.2513869625520111</v>
      </c>
      <c r="O25" s="111">
        <f>SUM(O14:O24)</f>
        <v>20</v>
      </c>
      <c r="P25" s="111">
        <f>SUM(P14:P24)</f>
        <v>3</v>
      </c>
      <c r="Q25" s="111">
        <f>SUM(Q14:Q24)</f>
        <v>22</v>
      </c>
      <c r="R25" s="111">
        <f>SUM(R14:R24)</f>
        <v>37</v>
      </c>
      <c r="S25" s="111">
        <f>SUM(S14:S24)</f>
        <v>4</v>
      </c>
      <c r="T25" s="103">
        <f t="shared" si="12"/>
        <v>86</v>
      </c>
      <c r="U25" s="104">
        <f t="shared" si="13"/>
        <v>0.74549237170596394</v>
      </c>
      <c r="V25" s="111">
        <f>SUM(V14:V24)</f>
        <v>22</v>
      </c>
      <c r="W25" s="111">
        <f>SUM(W14:W24)</f>
        <v>1</v>
      </c>
      <c r="X25" s="111">
        <f>SUM(X14:X24)</f>
        <v>19</v>
      </c>
      <c r="Y25" s="111">
        <f>SUM(Y14:Y24)</f>
        <v>33</v>
      </c>
      <c r="Z25" s="111">
        <f>SUM(Z14:Z24)</f>
        <v>13</v>
      </c>
      <c r="AA25" s="103">
        <f t="shared" si="14"/>
        <v>88</v>
      </c>
      <c r="AB25" s="104">
        <f t="shared" si="15"/>
        <v>0.76282940360610263</v>
      </c>
      <c r="AC25" s="107">
        <f>SUM(AC14:AC24)</f>
        <v>0</v>
      </c>
      <c r="AD25" s="107">
        <f t="shared" ref="AD25:AE25" si="16">SUM(AD14:AD24)</f>
        <v>2</v>
      </c>
      <c r="AE25" s="107">
        <f t="shared" si="16"/>
        <v>763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2376</v>
      </c>
      <c r="C28" s="97">
        <v>990</v>
      </c>
      <c r="D28" s="97">
        <v>2612</v>
      </c>
      <c r="E28" s="97">
        <v>2626</v>
      </c>
      <c r="F28" s="97">
        <v>2520</v>
      </c>
      <c r="G28" s="98">
        <f t="shared" ref="G28:G36" si="17">SUM(B28:F28)</f>
        <v>11124</v>
      </c>
      <c r="H28" s="97">
        <v>4</v>
      </c>
      <c r="I28" s="97">
        <v>1</v>
      </c>
      <c r="J28" s="97">
        <v>5</v>
      </c>
      <c r="K28" s="97">
        <v>2</v>
      </c>
      <c r="L28" s="97">
        <v>13</v>
      </c>
      <c r="M28" s="97">
        <f>SUM(H28:L28)</f>
        <v>25</v>
      </c>
      <c r="N28" s="99">
        <f>M28*100/$G28</f>
        <v>0.22473930240920531</v>
      </c>
      <c r="O28" s="97">
        <v>10</v>
      </c>
      <c r="P28" s="97">
        <v>1</v>
      </c>
      <c r="Q28" s="97">
        <v>10</v>
      </c>
      <c r="R28" s="97">
        <v>3</v>
      </c>
      <c r="S28" s="97">
        <v>3</v>
      </c>
      <c r="T28" s="97">
        <f>SUM(O28:S28)</f>
        <v>27</v>
      </c>
      <c r="U28" s="99">
        <f>T28*100/$G28</f>
        <v>0.24271844660194175</v>
      </c>
      <c r="V28" s="97">
        <v>4</v>
      </c>
      <c r="W28" s="97">
        <v>1</v>
      </c>
      <c r="X28" s="97">
        <v>5</v>
      </c>
      <c r="Y28" s="97">
        <v>4</v>
      </c>
      <c r="Z28" s="97">
        <v>0</v>
      </c>
      <c r="AA28" s="97">
        <f>SUM(V28:Z28)</f>
        <v>14</v>
      </c>
      <c r="AB28" s="99">
        <f>AA28*100/$G28</f>
        <v>0.12585400934915497</v>
      </c>
      <c r="AC28" s="101">
        <v>3</v>
      </c>
      <c r="AD28" s="101">
        <v>0</v>
      </c>
      <c r="AE28" s="101">
        <v>44</v>
      </c>
    </row>
    <row r="29" spans="1:31" ht="14.4" thickBot="1" x14ac:dyDescent="0.3">
      <c r="A29" s="89" t="s">
        <v>16</v>
      </c>
      <c r="B29" s="97">
        <v>1407</v>
      </c>
      <c r="C29" s="97">
        <v>563</v>
      </c>
      <c r="D29" s="97">
        <v>1628</v>
      </c>
      <c r="E29" s="97">
        <v>1408</v>
      </c>
      <c r="F29" s="97">
        <v>760</v>
      </c>
      <c r="G29" s="98">
        <f t="shared" si="17"/>
        <v>5766</v>
      </c>
      <c r="H29" s="97">
        <v>6</v>
      </c>
      <c r="I29" s="97">
        <v>3</v>
      </c>
      <c r="J29" s="97">
        <v>3</v>
      </c>
      <c r="K29" s="97">
        <v>6</v>
      </c>
      <c r="L29" s="97">
        <v>5</v>
      </c>
      <c r="M29" s="97">
        <f>SUM(H29:L29)</f>
        <v>23</v>
      </c>
      <c r="N29" s="99">
        <f t="shared" ref="N29:N38" si="18">M29*100/$G29</f>
        <v>0.39889004509191817</v>
      </c>
      <c r="O29" s="97">
        <v>2</v>
      </c>
      <c r="P29" s="97">
        <v>6</v>
      </c>
      <c r="Q29" s="97">
        <v>6</v>
      </c>
      <c r="R29" s="97">
        <v>5</v>
      </c>
      <c r="S29" s="97">
        <v>4</v>
      </c>
      <c r="T29" s="97">
        <f>SUM(O29:S29)</f>
        <v>23</v>
      </c>
      <c r="U29" s="99">
        <f t="shared" ref="U29:U38" si="19">T29*100/$G29</f>
        <v>0.39889004509191817</v>
      </c>
      <c r="V29" s="97">
        <v>11</v>
      </c>
      <c r="W29" s="97">
        <v>1</v>
      </c>
      <c r="X29" s="97">
        <v>6</v>
      </c>
      <c r="Y29" s="97">
        <v>7</v>
      </c>
      <c r="Z29" s="97">
        <v>0</v>
      </c>
      <c r="AA29" s="97">
        <f>SUM(V29:Z29)</f>
        <v>25</v>
      </c>
      <c r="AB29" s="99">
        <f t="shared" ref="AB29:AB38" si="20">AA29*100/$G29</f>
        <v>0.43357613596947625</v>
      </c>
      <c r="AC29" s="101">
        <v>4</v>
      </c>
      <c r="AD29" s="101">
        <v>1</v>
      </c>
      <c r="AE29" s="101">
        <v>43</v>
      </c>
    </row>
    <row r="30" spans="1:31" ht="14.4" thickBot="1" x14ac:dyDescent="0.3">
      <c r="A30" s="89" t="s">
        <v>34</v>
      </c>
      <c r="B30" s="97">
        <v>809</v>
      </c>
      <c r="C30" s="97">
        <v>426</v>
      </c>
      <c r="D30" s="97">
        <v>873</v>
      </c>
      <c r="E30" s="97">
        <v>676</v>
      </c>
      <c r="F30" s="97">
        <v>1029</v>
      </c>
      <c r="G30" s="98">
        <f t="shared" si="17"/>
        <v>3813</v>
      </c>
      <c r="H30" s="97">
        <v>2</v>
      </c>
      <c r="I30" s="97">
        <v>0</v>
      </c>
      <c r="J30" s="97">
        <v>1</v>
      </c>
      <c r="K30" s="97">
        <v>3</v>
      </c>
      <c r="L30" s="97">
        <v>2</v>
      </c>
      <c r="M30" s="97">
        <f t="shared" ref="M30:M38" si="21">SUM(H30:L30)</f>
        <v>8</v>
      </c>
      <c r="N30" s="99">
        <f t="shared" si="18"/>
        <v>0.20980854969840021</v>
      </c>
      <c r="O30" s="97">
        <v>7</v>
      </c>
      <c r="P30" s="97">
        <v>0</v>
      </c>
      <c r="Q30" s="97">
        <v>13</v>
      </c>
      <c r="R30" s="97">
        <v>8</v>
      </c>
      <c r="S30" s="97">
        <v>4</v>
      </c>
      <c r="T30" s="97">
        <f t="shared" ref="T30:T38" si="22">SUM(O30:S30)</f>
        <v>32</v>
      </c>
      <c r="U30" s="99">
        <f t="shared" si="19"/>
        <v>0.83923419879360084</v>
      </c>
      <c r="V30" s="97">
        <v>1</v>
      </c>
      <c r="W30" s="97">
        <v>0</v>
      </c>
      <c r="X30" s="97">
        <v>8</v>
      </c>
      <c r="Y30" s="97">
        <v>1</v>
      </c>
      <c r="Z30" s="97">
        <v>0</v>
      </c>
      <c r="AA30" s="97">
        <f t="shared" ref="AA30:AA38" si="23">SUM(V30:Z30)</f>
        <v>10</v>
      </c>
      <c r="AB30" s="99">
        <f t="shared" si="20"/>
        <v>0.26226068712300027</v>
      </c>
      <c r="AC30" s="101">
        <v>1</v>
      </c>
      <c r="AD30" s="101">
        <v>0</v>
      </c>
      <c r="AE30" s="101">
        <v>39</v>
      </c>
    </row>
    <row r="31" spans="1:31" ht="14.4" thickBot="1" x14ac:dyDescent="0.3">
      <c r="A31" s="89" t="s">
        <v>17</v>
      </c>
      <c r="B31" s="97">
        <v>4672</v>
      </c>
      <c r="C31" s="97">
        <v>2367</v>
      </c>
      <c r="D31" s="97">
        <v>6923</v>
      </c>
      <c r="E31" s="97">
        <v>6513</v>
      </c>
      <c r="F31" s="97">
        <v>4791</v>
      </c>
      <c r="G31" s="98">
        <f t="shared" si="17"/>
        <v>25266</v>
      </c>
      <c r="H31" s="97">
        <v>1</v>
      </c>
      <c r="I31" s="97">
        <v>4</v>
      </c>
      <c r="J31" s="97">
        <v>12</v>
      </c>
      <c r="K31" s="97">
        <v>7</v>
      </c>
      <c r="L31" s="97">
        <v>3</v>
      </c>
      <c r="M31" s="97">
        <f t="shared" si="21"/>
        <v>27</v>
      </c>
      <c r="N31" s="99">
        <f t="shared" si="18"/>
        <v>0.10686297791498456</v>
      </c>
      <c r="O31" s="97">
        <v>5</v>
      </c>
      <c r="P31" s="97">
        <v>2</v>
      </c>
      <c r="Q31" s="97">
        <v>16</v>
      </c>
      <c r="R31" s="97">
        <v>16</v>
      </c>
      <c r="S31" s="97">
        <v>5</v>
      </c>
      <c r="T31" s="97">
        <f t="shared" si="22"/>
        <v>44</v>
      </c>
      <c r="U31" s="99">
        <f t="shared" si="19"/>
        <v>0.17414707512071559</v>
      </c>
      <c r="V31" s="97">
        <v>12</v>
      </c>
      <c r="W31" s="97">
        <v>0</v>
      </c>
      <c r="X31" s="97">
        <v>14</v>
      </c>
      <c r="Y31" s="97">
        <v>22</v>
      </c>
      <c r="Z31" s="97">
        <v>1</v>
      </c>
      <c r="AA31" s="97">
        <f t="shared" si="23"/>
        <v>49</v>
      </c>
      <c r="AB31" s="99">
        <f t="shared" si="20"/>
        <v>0.19393651547534235</v>
      </c>
      <c r="AC31" s="101">
        <v>1</v>
      </c>
      <c r="AD31" s="101">
        <v>0</v>
      </c>
      <c r="AE31" s="101">
        <v>155</v>
      </c>
    </row>
    <row r="32" spans="1:31" ht="14.4" thickBot="1" x14ac:dyDescent="0.3">
      <c r="A32" s="89" t="s">
        <v>125</v>
      </c>
      <c r="B32" s="97">
        <v>8244</v>
      </c>
      <c r="C32" s="97">
        <v>7030</v>
      </c>
      <c r="D32" s="97">
        <v>14539</v>
      </c>
      <c r="E32" s="97">
        <v>17462</v>
      </c>
      <c r="F32" s="97">
        <v>10331</v>
      </c>
      <c r="G32" s="98">
        <f t="shared" si="17"/>
        <v>57606</v>
      </c>
      <c r="H32" s="97">
        <v>11</v>
      </c>
      <c r="I32" s="97">
        <v>14</v>
      </c>
      <c r="J32" s="97">
        <v>26</v>
      </c>
      <c r="K32" s="97">
        <v>15</v>
      </c>
      <c r="L32" s="97">
        <v>8</v>
      </c>
      <c r="M32" s="97">
        <f t="shared" si="21"/>
        <v>74</v>
      </c>
      <c r="N32" s="99">
        <f t="shared" si="18"/>
        <v>0.1284588410929417</v>
      </c>
      <c r="O32" s="97">
        <v>21</v>
      </c>
      <c r="P32" s="97">
        <v>22</v>
      </c>
      <c r="Q32" s="97">
        <v>65</v>
      </c>
      <c r="R32" s="97">
        <v>25</v>
      </c>
      <c r="S32" s="97">
        <v>17</v>
      </c>
      <c r="T32" s="97">
        <f t="shared" si="22"/>
        <v>150</v>
      </c>
      <c r="U32" s="99">
        <f t="shared" si="19"/>
        <v>0.26038954275596293</v>
      </c>
      <c r="V32" s="97">
        <v>56</v>
      </c>
      <c r="W32" s="97">
        <v>13</v>
      </c>
      <c r="X32" s="97">
        <v>55</v>
      </c>
      <c r="Y32" s="97">
        <v>82</v>
      </c>
      <c r="Z32" s="97">
        <v>11</v>
      </c>
      <c r="AA32" s="97">
        <f t="shared" si="23"/>
        <v>217</v>
      </c>
      <c r="AB32" s="99">
        <f t="shared" si="20"/>
        <v>0.37669687185362638</v>
      </c>
      <c r="AC32" s="101">
        <v>5</v>
      </c>
      <c r="AD32" s="101">
        <v>0</v>
      </c>
      <c r="AE32" s="101">
        <v>496</v>
      </c>
    </row>
    <row r="33" spans="1:31" ht="14.4" thickBot="1" x14ac:dyDescent="0.3">
      <c r="A33" s="89" t="s">
        <v>18</v>
      </c>
      <c r="B33" s="97">
        <v>1630</v>
      </c>
      <c r="C33" s="97">
        <v>1214</v>
      </c>
      <c r="D33" s="97">
        <v>1866</v>
      </c>
      <c r="E33" s="97">
        <v>1252</v>
      </c>
      <c r="F33" s="97">
        <v>2443</v>
      </c>
      <c r="G33" s="98">
        <f t="shared" si="17"/>
        <v>8405</v>
      </c>
      <c r="H33" s="97">
        <v>4</v>
      </c>
      <c r="I33" s="97">
        <v>0</v>
      </c>
      <c r="J33" s="97">
        <v>4</v>
      </c>
      <c r="K33" s="97">
        <v>2</v>
      </c>
      <c r="L33" s="97">
        <v>5</v>
      </c>
      <c r="M33" s="97">
        <f t="shared" si="21"/>
        <v>15</v>
      </c>
      <c r="N33" s="99">
        <f t="shared" si="18"/>
        <v>0.17846519928613921</v>
      </c>
      <c r="O33" s="97">
        <v>5</v>
      </c>
      <c r="P33" s="97">
        <v>1</v>
      </c>
      <c r="Q33" s="97">
        <v>4</v>
      </c>
      <c r="R33" s="97">
        <v>4</v>
      </c>
      <c r="S33" s="97">
        <v>2</v>
      </c>
      <c r="T33" s="97">
        <f t="shared" si="22"/>
        <v>16</v>
      </c>
      <c r="U33" s="99">
        <f t="shared" si="19"/>
        <v>0.19036287923854847</v>
      </c>
      <c r="V33" s="97">
        <v>0</v>
      </c>
      <c r="W33" s="97">
        <v>2</v>
      </c>
      <c r="X33" s="97">
        <v>1</v>
      </c>
      <c r="Y33" s="97">
        <v>9</v>
      </c>
      <c r="Z33" s="97">
        <v>4</v>
      </c>
      <c r="AA33" s="97">
        <f t="shared" si="23"/>
        <v>16</v>
      </c>
      <c r="AB33" s="99">
        <f t="shared" si="20"/>
        <v>0.19036287923854847</v>
      </c>
      <c r="AC33" s="101">
        <v>2</v>
      </c>
      <c r="AD33" s="101">
        <v>0</v>
      </c>
      <c r="AE33" s="101">
        <v>109</v>
      </c>
    </row>
    <row r="34" spans="1:31" ht="14.4" thickBot="1" x14ac:dyDescent="0.3">
      <c r="A34" s="89" t="s">
        <v>19</v>
      </c>
      <c r="B34" s="97">
        <v>7974</v>
      </c>
      <c r="C34" s="97">
        <v>5050</v>
      </c>
      <c r="D34" s="97">
        <v>10235</v>
      </c>
      <c r="E34" s="97">
        <v>9051</v>
      </c>
      <c r="F34" s="97">
        <v>5335</v>
      </c>
      <c r="G34" s="98">
        <f t="shared" si="17"/>
        <v>37645</v>
      </c>
      <c r="H34" s="97">
        <v>34</v>
      </c>
      <c r="I34" s="97">
        <v>16</v>
      </c>
      <c r="J34" s="97">
        <v>87</v>
      </c>
      <c r="K34" s="97">
        <v>45</v>
      </c>
      <c r="L34" s="97">
        <v>15</v>
      </c>
      <c r="M34" s="97">
        <f t="shared" si="21"/>
        <v>197</v>
      </c>
      <c r="N34" s="99">
        <f t="shared" si="18"/>
        <v>0.52330986850843408</v>
      </c>
      <c r="O34" s="97">
        <v>64</v>
      </c>
      <c r="P34" s="97">
        <v>19</v>
      </c>
      <c r="Q34" s="97">
        <v>110</v>
      </c>
      <c r="R34" s="97">
        <v>65</v>
      </c>
      <c r="S34" s="97">
        <v>17</v>
      </c>
      <c r="T34" s="97">
        <f t="shared" si="22"/>
        <v>275</v>
      </c>
      <c r="U34" s="99">
        <f t="shared" si="19"/>
        <v>0.7305086996945146</v>
      </c>
      <c r="V34" s="97">
        <v>64</v>
      </c>
      <c r="W34" s="97">
        <v>5</v>
      </c>
      <c r="X34" s="97">
        <v>46</v>
      </c>
      <c r="Y34" s="97">
        <v>50</v>
      </c>
      <c r="Z34" s="97">
        <v>14</v>
      </c>
      <c r="AA34" s="97">
        <f t="shared" si="23"/>
        <v>179</v>
      </c>
      <c r="AB34" s="99">
        <f t="shared" si="20"/>
        <v>0.47549475361933857</v>
      </c>
      <c r="AC34" s="101">
        <v>22</v>
      </c>
      <c r="AD34" s="101">
        <v>3</v>
      </c>
      <c r="AE34" s="101">
        <v>501</v>
      </c>
    </row>
    <row r="35" spans="1:31" ht="14.4" thickBot="1" x14ac:dyDescent="0.3">
      <c r="A35" s="89" t="s">
        <v>20</v>
      </c>
      <c r="B35" s="97">
        <v>4423</v>
      </c>
      <c r="C35" s="97">
        <v>2616</v>
      </c>
      <c r="D35" s="97">
        <v>6462</v>
      </c>
      <c r="E35" s="97">
        <v>5612</v>
      </c>
      <c r="F35" s="97">
        <v>3095</v>
      </c>
      <c r="G35" s="98">
        <f t="shared" si="17"/>
        <v>22208</v>
      </c>
      <c r="H35" s="97">
        <v>14</v>
      </c>
      <c r="I35" s="97">
        <v>7</v>
      </c>
      <c r="J35" s="97">
        <v>28</v>
      </c>
      <c r="K35" s="97">
        <v>18</v>
      </c>
      <c r="L35" s="97">
        <v>13</v>
      </c>
      <c r="M35" s="97">
        <f t="shared" si="21"/>
        <v>80</v>
      </c>
      <c r="N35" s="99">
        <f t="shared" si="18"/>
        <v>0.36023054755043227</v>
      </c>
      <c r="O35" s="97">
        <v>30</v>
      </c>
      <c r="P35" s="97">
        <v>8</v>
      </c>
      <c r="Q35" s="97">
        <v>44</v>
      </c>
      <c r="R35" s="97">
        <v>32</v>
      </c>
      <c r="S35" s="97">
        <v>11</v>
      </c>
      <c r="T35" s="97">
        <f t="shared" si="22"/>
        <v>125</v>
      </c>
      <c r="U35" s="99">
        <f t="shared" si="19"/>
        <v>0.56286023054755041</v>
      </c>
      <c r="V35" s="97">
        <v>41</v>
      </c>
      <c r="W35" s="97">
        <v>0</v>
      </c>
      <c r="X35" s="97">
        <v>25</v>
      </c>
      <c r="Y35" s="97">
        <v>35</v>
      </c>
      <c r="Z35" s="97">
        <v>4</v>
      </c>
      <c r="AA35" s="97">
        <f t="shared" si="23"/>
        <v>105</v>
      </c>
      <c r="AB35" s="99">
        <f t="shared" si="20"/>
        <v>0.47280259365994237</v>
      </c>
      <c r="AC35" s="101">
        <v>12</v>
      </c>
      <c r="AD35" s="101">
        <v>0</v>
      </c>
      <c r="AE35" s="101">
        <v>219</v>
      </c>
    </row>
    <row r="36" spans="1:31" ht="14.4" thickBot="1" x14ac:dyDescent="0.3">
      <c r="A36" s="89" t="s">
        <v>25</v>
      </c>
      <c r="B36" s="97"/>
      <c r="C36" s="97"/>
      <c r="D36" s="97"/>
      <c r="E36" s="97"/>
      <c r="F36" s="97"/>
      <c r="G36" s="98">
        <f t="shared" si="17"/>
        <v>0</v>
      </c>
      <c r="H36" s="97"/>
      <c r="I36" s="97"/>
      <c r="J36" s="97"/>
      <c r="K36" s="97"/>
      <c r="L36" s="97"/>
      <c r="M36" s="97">
        <f t="shared" si="21"/>
        <v>0</v>
      </c>
      <c r="N36" s="99" t="e">
        <f t="shared" si="18"/>
        <v>#DIV/0!</v>
      </c>
      <c r="O36" s="97"/>
      <c r="P36" s="97"/>
      <c r="Q36" s="97"/>
      <c r="R36" s="97"/>
      <c r="S36" s="97"/>
      <c r="T36" s="97">
        <f t="shared" si="22"/>
        <v>0</v>
      </c>
      <c r="U36" s="99" t="e">
        <f t="shared" si="19"/>
        <v>#DIV/0!</v>
      </c>
      <c r="V36" s="97"/>
      <c r="W36" s="97"/>
      <c r="X36" s="97"/>
      <c r="Y36" s="97"/>
      <c r="Z36" s="97"/>
      <c r="AA36" s="97">
        <f t="shared" si="23"/>
        <v>0</v>
      </c>
      <c r="AB36" s="99" t="e">
        <f t="shared" si="20"/>
        <v>#DIV/0!</v>
      </c>
      <c r="AC36" s="101"/>
      <c r="AD36" s="101"/>
      <c r="AE36" s="101"/>
    </row>
    <row r="37" spans="1:31" ht="14.4" thickBot="1" x14ac:dyDescent="0.3">
      <c r="A37" s="89" t="s">
        <v>26</v>
      </c>
      <c r="B37" s="97">
        <v>33511</v>
      </c>
      <c r="C37" s="97">
        <v>16962</v>
      </c>
      <c r="D37" s="97">
        <v>38329</v>
      </c>
      <c r="E37" s="97">
        <v>38792</v>
      </c>
      <c r="F37" s="97">
        <v>21403</v>
      </c>
      <c r="G37" s="98">
        <f>SUM(B37:F37)</f>
        <v>148997</v>
      </c>
      <c r="H37" s="97">
        <v>37</v>
      </c>
      <c r="I37" s="97">
        <v>13</v>
      </c>
      <c r="J37" s="97">
        <v>99</v>
      </c>
      <c r="K37" s="97">
        <v>63</v>
      </c>
      <c r="L37" s="97">
        <v>23</v>
      </c>
      <c r="M37" s="97">
        <f t="shared" si="21"/>
        <v>235</v>
      </c>
      <c r="N37" s="99">
        <f t="shared" si="18"/>
        <v>0.15772129640194099</v>
      </c>
      <c r="O37" s="97">
        <v>108</v>
      </c>
      <c r="P37" s="97">
        <v>22</v>
      </c>
      <c r="Q37" s="97">
        <v>133</v>
      </c>
      <c r="R37" s="97">
        <v>137</v>
      </c>
      <c r="S37" s="97">
        <v>26</v>
      </c>
      <c r="T37" s="97">
        <f t="shared" si="22"/>
        <v>426</v>
      </c>
      <c r="U37" s="99">
        <f t="shared" si="19"/>
        <v>0.28591179688181639</v>
      </c>
      <c r="V37" s="97">
        <v>90</v>
      </c>
      <c r="W37" s="97">
        <v>33</v>
      </c>
      <c r="X37" s="97">
        <v>162</v>
      </c>
      <c r="Y37" s="97">
        <v>154</v>
      </c>
      <c r="Z37" s="97">
        <v>52</v>
      </c>
      <c r="AA37" s="97">
        <f t="shared" si="23"/>
        <v>491</v>
      </c>
      <c r="AB37" s="99">
        <f t="shared" si="20"/>
        <v>0.32953683631214054</v>
      </c>
      <c r="AC37" s="101">
        <v>24</v>
      </c>
      <c r="AD37" s="101">
        <v>3</v>
      </c>
      <c r="AE37" s="97">
        <v>966</v>
      </c>
    </row>
    <row r="38" spans="1:31" s="132" customFormat="1" ht="14.4" thickBot="1" x14ac:dyDescent="0.3">
      <c r="A38" s="128" t="s">
        <v>21</v>
      </c>
      <c r="B38" s="111">
        <f>SUM(B28:B37)</f>
        <v>65046</v>
      </c>
      <c r="C38" s="111">
        <f>SUM(C28:C37)</f>
        <v>37218</v>
      </c>
      <c r="D38" s="111">
        <f>SUM(D28:D37)</f>
        <v>83467</v>
      </c>
      <c r="E38" s="111">
        <f>SUM(E28:E37)</f>
        <v>83392</v>
      </c>
      <c r="F38" s="111">
        <f>SUM(F28:F37)</f>
        <v>51707</v>
      </c>
      <c r="G38" s="102">
        <f>SUM(B38:F38)</f>
        <v>320830</v>
      </c>
      <c r="H38" s="111">
        <f>SUM(H28:H37)</f>
        <v>113</v>
      </c>
      <c r="I38" s="111">
        <f>SUM(I28:I37)</f>
        <v>58</v>
      </c>
      <c r="J38" s="111">
        <f>SUM(J28:J37)</f>
        <v>265</v>
      </c>
      <c r="K38" s="111">
        <f>SUM(K28:K37)</f>
        <v>161</v>
      </c>
      <c r="L38" s="111">
        <f>SUM(L28:L37)</f>
        <v>87</v>
      </c>
      <c r="M38" s="103">
        <f t="shared" si="21"/>
        <v>684</v>
      </c>
      <c r="N38" s="104">
        <f t="shared" si="18"/>
        <v>0.21319702022878159</v>
      </c>
      <c r="O38" s="111">
        <f>SUM(O28:O37)</f>
        <v>252</v>
      </c>
      <c r="P38" s="111">
        <f>SUM(P28:P37)</f>
        <v>81</v>
      </c>
      <c r="Q38" s="111">
        <f>SUM(Q28:Q37)</f>
        <v>401</v>
      </c>
      <c r="R38" s="111">
        <f>SUM(R28:R37)</f>
        <v>295</v>
      </c>
      <c r="S38" s="111">
        <f>SUM(S28:S37)</f>
        <v>89</v>
      </c>
      <c r="T38" s="103">
        <f t="shared" si="22"/>
        <v>1118</v>
      </c>
      <c r="U38" s="104">
        <f t="shared" si="19"/>
        <v>0.34847115294704362</v>
      </c>
      <c r="V38" s="111">
        <f>SUM(V28:V37)</f>
        <v>279</v>
      </c>
      <c r="W38" s="111">
        <f>SUM(W28:W37)</f>
        <v>55</v>
      </c>
      <c r="X38" s="111">
        <f>SUM(X28:X37)</f>
        <v>322</v>
      </c>
      <c r="Y38" s="111">
        <f>SUM(Y28:Y37)</f>
        <v>364</v>
      </c>
      <c r="Z38" s="111">
        <f>SUM(Z28:Z37)</f>
        <v>86</v>
      </c>
      <c r="AA38" s="103">
        <f t="shared" si="23"/>
        <v>1106</v>
      </c>
      <c r="AB38" s="104">
        <f t="shared" si="20"/>
        <v>0.34473085434653866</v>
      </c>
      <c r="AC38" s="107">
        <f>SUM(AC28:AC37)</f>
        <v>74</v>
      </c>
      <c r="AD38" s="107">
        <f t="shared" ref="AD38:AE38" si="24">SUM(AD28:AD37)</f>
        <v>7</v>
      </c>
      <c r="AE38" s="114">
        <f t="shared" si="24"/>
        <v>2572</v>
      </c>
    </row>
    <row r="39" spans="1:31" ht="13.8" x14ac:dyDescent="0.25">
      <c r="A39" s="129"/>
      <c r="B39" s="130"/>
      <c r="C39" s="130"/>
      <c r="D39" s="130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27"/>
      <c r="AD39" s="127"/>
      <c r="AE39" s="127"/>
    </row>
    <row r="40" spans="1:31" ht="14.4" thickBot="1" x14ac:dyDescent="0.3">
      <c r="A40" s="6" t="s">
        <v>28</v>
      </c>
      <c r="B40" s="113"/>
      <c r="C40" s="113"/>
      <c r="D40" s="113"/>
      <c r="E40" s="113"/>
      <c r="F40" s="113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27"/>
      <c r="AD40" s="127"/>
      <c r="AE40" s="127"/>
    </row>
    <row r="41" spans="1:31" ht="14.4" thickBot="1" x14ac:dyDescent="0.3">
      <c r="A41" s="89" t="s">
        <v>40</v>
      </c>
      <c r="B41" s="97"/>
      <c r="C41" s="97"/>
      <c r="D41" s="97"/>
      <c r="E41" s="97"/>
      <c r="F41" s="97"/>
      <c r="G41" s="98">
        <f>SUM(B41:F41)</f>
        <v>0</v>
      </c>
      <c r="H41" s="97"/>
      <c r="I41" s="97"/>
      <c r="J41" s="97"/>
      <c r="K41" s="97"/>
      <c r="L41" s="120"/>
      <c r="M41" s="97">
        <f>SUM(H41:L41)</f>
        <v>0</v>
      </c>
      <c r="N41" s="99" t="e">
        <f>M41*100/$G41</f>
        <v>#DIV/0!</v>
      </c>
      <c r="O41" s="97"/>
      <c r="P41" s="97"/>
      <c r="Q41" s="97"/>
      <c r="R41" s="97"/>
      <c r="S41" s="120"/>
      <c r="T41" s="97">
        <f>SUM(O41:S41)</f>
        <v>0</v>
      </c>
      <c r="U41" s="99" t="e">
        <f>T41*100/$G41</f>
        <v>#DIV/0!</v>
      </c>
      <c r="V41" s="97"/>
      <c r="W41" s="97"/>
      <c r="X41" s="97"/>
      <c r="Y41" s="97"/>
      <c r="Z41" s="120"/>
      <c r="AA41" s="97">
        <f>SUM(V41:Z41)</f>
        <v>0</v>
      </c>
      <c r="AB41" s="99" t="e">
        <f>AA41*100/$G41</f>
        <v>#DIV/0!</v>
      </c>
      <c r="AC41" s="101"/>
      <c r="AD41" s="101"/>
      <c r="AE41" s="101"/>
    </row>
    <row r="42" spans="1:31" ht="14.4" thickBot="1" x14ac:dyDescent="0.3">
      <c r="A42" s="89" t="s">
        <v>27</v>
      </c>
      <c r="B42" s="97">
        <v>43661</v>
      </c>
      <c r="C42" s="97">
        <v>29240</v>
      </c>
      <c r="D42" s="109" t="s">
        <v>126</v>
      </c>
      <c r="E42" s="97">
        <v>48268</v>
      </c>
      <c r="F42" s="97">
        <v>39067</v>
      </c>
      <c r="G42" s="98">
        <f>SUM(B42:F42)</f>
        <v>160236</v>
      </c>
      <c r="H42" s="97">
        <v>15</v>
      </c>
      <c r="I42" s="97">
        <v>13</v>
      </c>
      <c r="J42" s="97">
        <v>44</v>
      </c>
      <c r="K42" s="97">
        <v>9</v>
      </c>
      <c r="L42" s="97">
        <v>11</v>
      </c>
      <c r="M42" s="97">
        <f>SUM(H42:L42)</f>
        <v>92</v>
      </c>
      <c r="N42" s="99">
        <f t="shared" ref="N42:N43" si="25">M42*100/$G42</f>
        <v>5.7415312414189068E-2</v>
      </c>
      <c r="O42" s="97">
        <v>13</v>
      </c>
      <c r="P42" s="97">
        <v>13</v>
      </c>
      <c r="Q42" s="97">
        <v>58</v>
      </c>
      <c r="R42" s="97">
        <v>8</v>
      </c>
      <c r="S42" s="97">
        <v>6</v>
      </c>
      <c r="T42" s="97">
        <f>SUM(O42:S42)</f>
        <v>98</v>
      </c>
      <c r="U42" s="99">
        <f>T42*100/$G42</f>
        <v>6.115978931076662E-2</v>
      </c>
      <c r="V42" s="97">
        <v>21</v>
      </c>
      <c r="W42" s="97">
        <v>17</v>
      </c>
      <c r="X42" s="97">
        <v>53</v>
      </c>
      <c r="Y42" s="97">
        <v>13</v>
      </c>
      <c r="Z42" s="97">
        <v>25</v>
      </c>
      <c r="AA42" s="97">
        <f>SUM(V42:Z42)</f>
        <v>129</v>
      </c>
      <c r="AB42" s="99">
        <f t="shared" ref="AB42:AB43" si="26">AA42*100/$G42</f>
        <v>8.0506253276417278E-2</v>
      </c>
      <c r="AC42" s="101">
        <v>8</v>
      </c>
      <c r="AD42" s="101">
        <v>1</v>
      </c>
      <c r="AE42" s="101">
        <v>97</v>
      </c>
    </row>
    <row r="43" spans="1:31" s="132" customFormat="1" ht="14.4" thickBot="1" x14ac:dyDescent="0.3">
      <c r="A43" s="128" t="s">
        <v>21</v>
      </c>
      <c r="B43" s="111">
        <f>SUM(B41:B42)</f>
        <v>43661</v>
      </c>
      <c r="C43" s="111">
        <f t="shared" ref="C43:L43" si="27">SUM(C41:C42)</f>
        <v>29240</v>
      </c>
      <c r="D43" s="111">
        <f t="shared" si="27"/>
        <v>0</v>
      </c>
      <c r="E43" s="111">
        <f t="shared" si="27"/>
        <v>48268</v>
      </c>
      <c r="F43" s="111">
        <f t="shared" si="27"/>
        <v>39067</v>
      </c>
      <c r="G43" s="102">
        <f>SUM(G41:G42)</f>
        <v>160236</v>
      </c>
      <c r="H43" s="111">
        <f t="shared" si="27"/>
        <v>15</v>
      </c>
      <c r="I43" s="111">
        <f t="shared" si="27"/>
        <v>13</v>
      </c>
      <c r="J43" s="111">
        <f t="shared" si="27"/>
        <v>44</v>
      </c>
      <c r="K43" s="111">
        <f t="shared" si="27"/>
        <v>9</v>
      </c>
      <c r="L43" s="111">
        <f t="shared" si="27"/>
        <v>11</v>
      </c>
      <c r="M43" s="103">
        <f>SUM(M41:M42)</f>
        <v>92</v>
      </c>
      <c r="N43" s="104">
        <f t="shared" si="25"/>
        <v>5.7415312414189068E-2</v>
      </c>
      <c r="O43" s="111">
        <f t="shared" ref="O43:S43" si="28">SUM(O41:O42)</f>
        <v>13</v>
      </c>
      <c r="P43" s="111">
        <f t="shared" si="28"/>
        <v>13</v>
      </c>
      <c r="Q43" s="111">
        <f t="shared" si="28"/>
        <v>58</v>
      </c>
      <c r="R43" s="111">
        <f t="shared" si="28"/>
        <v>8</v>
      </c>
      <c r="S43" s="111">
        <f t="shared" si="28"/>
        <v>6</v>
      </c>
      <c r="T43" s="103">
        <f>SUM(T41:T42)</f>
        <v>98</v>
      </c>
      <c r="U43" s="104">
        <f>T43*100/$G43</f>
        <v>6.115978931076662E-2</v>
      </c>
      <c r="V43" s="111">
        <f t="shared" ref="V43:Z43" si="29">SUM(V41:V42)</f>
        <v>21</v>
      </c>
      <c r="W43" s="111">
        <f t="shared" si="29"/>
        <v>17</v>
      </c>
      <c r="X43" s="111">
        <f t="shared" si="29"/>
        <v>53</v>
      </c>
      <c r="Y43" s="111">
        <f t="shared" si="29"/>
        <v>13</v>
      </c>
      <c r="Z43" s="111">
        <f t="shared" si="29"/>
        <v>25</v>
      </c>
      <c r="AA43" s="103">
        <f>SUM(AA41:AA42)</f>
        <v>129</v>
      </c>
      <c r="AB43" s="104">
        <f t="shared" si="26"/>
        <v>8.0506253276417278E-2</v>
      </c>
      <c r="AC43" s="107">
        <f>SUM(AC41:AC42)</f>
        <v>8</v>
      </c>
      <c r="AD43" s="107">
        <f t="shared" ref="AD43:AE43" si="30">SUM(AD41:AD42)</f>
        <v>1</v>
      </c>
      <c r="AE43" s="107">
        <f t="shared" si="30"/>
        <v>97</v>
      </c>
    </row>
    <row r="44" spans="1:31" ht="16.2" thickBot="1" x14ac:dyDescent="0.3">
      <c r="A44" s="121" t="s">
        <v>48</v>
      </c>
      <c r="B44" s="138">
        <f>B12+B26+B38+B43</f>
        <v>108707</v>
      </c>
      <c r="C44" s="134">
        <f>C12+C26+C38+C43</f>
        <v>66458</v>
      </c>
      <c r="D44" s="138">
        <f>D12+D26+D38+D43</f>
        <v>83467</v>
      </c>
      <c r="E44" s="134">
        <f>SUM(B44:D44)</f>
        <v>258632</v>
      </c>
      <c r="F44" s="134">
        <f t="shared" ref="F44" si="31">F12+F26+F38+F43</f>
        <v>90774</v>
      </c>
      <c r="G44" s="122">
        <f>G12+G26+G38+G43</f>
        <v>481066</v>
      </c>
      <c r="H44" s="122">
        <f t="shared" ref="H44:AE44" si="32">H11+H25+H38+H43</f>
        <v>142</v>
      </c>
      <c r="I44" s="122">
        <f t="shared" si="32"/>
        <v>78</v>
      </c>
      <c r="J44" s="122">
        <f t="shared" si="32"/>
        <v>324</v>
      </c>
      <c r="K44" s="122">
        <f t="shared" si="32"/>
        <v>204</v>
      </c>
      <c r="L44" s="122">
        <f t="shared" si="32"/>
        <v>99</v>
      </c>
      <c r="M44" s="122">
        <f t="shared" si="32"/>
        <v>847</v>
      </c>
      <c r="N44" s="123">
        <f>M44*100/G44</f>
        <v>0.17606731716645949</v>
      </c>
      <c r="O44" s="122">
        <f t="shared" si="32"/>
        <v>312</v>
      </c>
      <c r="P44" s="122">
        <f t="shared" si="32"/>
        <v>102</v>
      </c>
      <c r="Q44" s="122">
        <f t="shared" si="32"/>
        <v>506</v>
      </c>
      <c r="R44" s="122">
        <f t="shared" si="32"/>
        <v>367</v>
      </c>
      <c r="S44" s="122">
        <f t="shared" si="32"/>
        <v>103</v>
      </c>
      <c r="T44" s="122">
        <f t="shared" si="32"/>
        <v>1390</v>
      </c>
      <c r="U44" s="123">
        <f t="shared" ref="U44" si="33">T44*100/G44</f>
        <v>0.28894164210316253</v>
      </c>
      <c r="V44" s="122">
        <f t="shared" si="32"/>
        <v>373</v>
      </c>
      <c r="W44" s="122">
        <f t="shared" si="32"/>
        <v>73</v>
      </c>
      <c r="X44" s="122">
        <f t="shared" si="32"/>
        <v>412</v>
      </c>
      <c r="Y44" s="122">
        <f t="shared" si="32"/>
        <v>435</v>
      </c>
      <c r="Z44" s="122">
        <f t="shared" si="32"/>
        <v>139</v>
      </c>
      <c r="AA44" s="122">
        <f t="shared" si="32"/>
        <v>1432</v>
      </c>
      <c r="AB44" s="123">
        <f t="shared" ref="AB44" si="34">AA44*100/G44</f>
        <v>0.29767225287174731</v>
      </c>
      <c r="AC44" s="122">
        <f>AC11+AC25+AC38+AC43</f>
        <v>82</v>
      </c>
      <c r="AD44" s="122">
        <f t="shared" si="32"/>
        <v>36</v>
      </c>
      <c r="AE44" s="122">
        <f t="shared" si="32"/>
        <v>4367</v>
      </c>
    </row>
  </sheetData>
  <mergeCells count="9">
    <mergeCell ref="A1:AE1"/>
    <mergeCell ref="A3:A4"/>
    <mergeCell ref="B3:G3"/>
    <mergeCell ref="H3:M3"/>
    <mergeCell ref="N3:N4"/>
    <mergeCell ref="O3:T3"/>
    <mergeCell ref="U3:U4"/>
    <mergeCell ref="V3:AA3"/>
    <mergeCell ref="AB3:AB4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4"/>
  <dimension ref="A1:AB58"/>
  <sheetViews>
    <sheetView showGridLines="0" topLeftCell="A16" zoomScaleNormal="100" workbookViewId="0">
      <selection activeCell="C18" sqref="C18"/>
    </sheetView>
  </sheetViews>
  <sheetFormatPr baseColWidth="10" defaultColWidth="10.88671875" defaultRowHeight="15" x14ac:dyDescent="0.35"/>
  <cols>
    <col min="1" max="1" width="10.77734375" style="169" customWidth="1"/>
    <col min="2" max="2" width="21.6640625" style="169" bestFit="1" customWidth="1"/>
    <col min="3" max="3" width="10.77734375" style="169" customWidth="1"/>
    <col min="4" max="13" width="6.5546875" style="169" customWidth="1"/>
    <col min="14" max="16384" width="10.88671875" style="169"/>
  </cols>
  <sheetData>
    <row r="1" spans="1:28" s="166" customFormat="1" ht="19.95" customHeight="1" x14ac:dyDescent="0.5">
      <c r="B1" s="565" t="s">
        <v>78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</row>
    <row r="2" spans="1:28" s="166" customFormat="1" ht="19.95" customHeight="1" x14ac:dyDescent="0.5">
      <c r="B2" s="566" t="s">
        <v>173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</row>
    <row r="3" spans="1:28" ht="15.6" thickBot="1" x14ac:dyDescent="0.4"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7"/>
    </row>
    <row r="4" spans="1:28" ht="45" customHeight="1" thickBot="1" x14ac:dyDescent="0.4">
      <c r="B4" s="170" t="s">
        <v>73</v>
      </c>
      <c r="C4" s="329" t="s">
        <v>109</v>
      </c>
      <c r="D4" s="559" t="s">
        <v>79</v>
      </c>
      <c r="E4" s="557"/>
      <c r="F4" s="557"/>
      <c r="G4" s="557"/>
      <c r="H4" s="557"/>
      <c r="I4" s="557"/>
      <c r="J4" s="557"/>
      <c r="K4" s="557"/>
      <c r="L4" s="560"/>
      <c r="M4" s="558"/>
    </row>
    <row r="5" spans="1:28" ht="25.5" customHeight="1" thickBot="1" x14ac:dyDescent="0.4">
      <c r="B5" s="171" t="s">
        <v>61</v>
      </c>
      <c r="C5" s="172" t="s">
        <v>74</v>
      </c>
      <c r="D5" s="173">
        <v>2016</v>
      </c>
      <c r="E5" s="174">
        <v>2017</v>
      </c>
      <c r="F5" s="175">
        <v>2018</v>
      </c>
      <c r="G5" s="173">
        <v>2019</v>
      </c>
      <c r="H5" s="176">
        <v>2020</v>
      </c>
      <c r="I5" s="173">
        <v>2021</v>
      </c>
      <c r="J5" s="173">
        <v>2022</v>
      </c>
      <c r="K5" s="173">
        <v>2023</v>
      </c>
      <c r="L5" s="173">
        <v>2024</v>
      </c>
      <c r="M5" s="177">
        <v>2025</v>
      </c>
    </row>
    <row r="6" spans="1:28" ht="13.05" customHeight="1" x14ac:dyDescent="0.35">
      <c r="B6" s="178" t="s">
        <v>1</v>
      </c>
      <c r="C6" s="179">
        <f>SUM(D6:M6)/10</f>
        <v>0.98324759909979798</v>
      </c>
      <c r="D6" s="180">
        <v>0</v>
      </c>
      <c r="E6" s="181">
        <v>0</v>
      </c>
      <c r="F6" s="180">
        <v>2.4691358024691357</v>
      </c>
      <c r="G6" s="180">
        <v>1.7241379310344827</v>
      </c>
      <c r="H6" s="181">
        <v>1.6438356164383561</v>
      </c>
      <c r="I6" s="181">
        <v>0.85227272727272729</v>
      </c>
      <c r="J6" s="181">
        <v>0.57306590257879653</v>
      </c>
      <c r="K6" s="181">
        <f>BEaH23!U7</f>
        <v>1.1764705882352942</v>
      </c>
      <c r="L6" s="181">
        <f>BEaH24!AG8</f>
        <v>0.83333333333333337</v>
      </c>
      <c r="M6" s="182">
        <f>BEaH25!AG8</f>
        <v>0.56022408963585435</v>
      </c>
    </row>
    <row r="7" spans="1:28" ht="13.05" customHeight="1" x14ac:dyDescent="0.35">
      <c r="B7" s="183" t="s">
        <v>2</v>
      </c>
      <c r="C7" s="184">
        <f t="shared" ref="C7:C11" si="0">SUM(D7:M7)/10</f>
        <v>0.79507839573771066</v>
      </c>
      <c r="D7" s="185">
        <v>0.42841842199214564</v>
      </c>
      <c r="E7" s="186">
        <v>0.625</v>
      </c>
      <c r="F7" s="187">
        <v>0.86342229199372056</v>
      </c>
      <c r="G7" s="187">
        <v>1.1221945137157108</v>
      </c>
      <c r="H7" s="186">
        <v>0.98765432098765427</v>
      </c>
      <c r="I7" s="186">
        <v>1.0534846029173419</v>
      </c>
      <c r="J7" s="188">
        <v>0.61601642710472282</v>
      </c>
      <c r="K7" s="186">
        <f>BEaH23!U8</f>
        <v>0.70744902205576365</v>
      </c>
      <c r="L7" s="186">
        <f>BEaH24!AG9</f>
        <v>0.86994345367551107</v>
      </c>
      <c r="M7" s="189">
        <f>BEaH25!AG9</f>
        <v>0.67720090293453727</v>
      </c>
    </row>
    <row r="8" spans="1:28" ht="13.05" customHeight="1" x14ac:dyDescent="0.35">
      <c r="B8" s="183" t="s">
        <v>14</v>
      </c>
      <c r="C8" s="184">
        <f t="shared" si="0"/>
        <v>0.38850386563977785</v>
      </c>
      <c r="D8" s="187">
        <v>0</v>
      </c>
      <c r="E8" s="186">
        <v>0.28901734104046245</v>
      </c>
      <c r="F8" s="187">
        <v>0.93167701863354035</v>
      </c>
      <c r="G8" s="187">
        <v>0.34602076124567471</v>
      </c>
      <c r="H8" s="186">
        <v>0.32786885245901637</v>
      </c>
      <c r="I8" s="186">
        <v>0.65789473684210531</v>
      </c>
      <c r="J8" s="186">
        <v>0</v>
      </c>
      <c r="K8" s="186">
        <f>BEaH23!U9</f>
        <v>0.69686411149825789</v>
      </c>
      <c r="L8" s="186">
        <f>BEaH24!AG10</f>
        <v>0.30674846625766872</v>
      </c>
      <c r="M8" s="189">
        <f>BEaH25!AG10</f>
        <v>0.32894736842105265</v>
      </c>
    </row>
    <row r="9" spans="1:28" ht="13.05" customHeight="1" x14ac:dyDescent="0.35">
      <c r="B9" s="183" t="s">
        <v>3</v>
      </c>
      <c r="C9" s="184">
        <f t="shared" si="0"/>
        <v>0.4149961883152728</v>
      </c>
      <c r="D9" s="187">
        <v>0.54347826086956519</v>
      </c>
      <c r="E9" s="186">
        <v>0.37878787878787878</v>
      </c>
      <c r="F9" s="187">
        <v>0.59171597633136097</v>
      </c>
      <c r="G9" s="187">
        <v>0.62630480167014613</v>
      </c>
      <c r="H9" s="186">
        <v>0.4098360655737705</v>
      </c>
      <c r="I9" s="186">
        <v>0.2012072434607646</v>
      </c>
      <c r="J9" s="188">
        <v>0.69930069930069927</v>
      </c>
      <c r="K9" s="186">
        <f>BEaH23!U10</f>
        <v>0.46838407494145201</v>
      </c>
      <c r="L9" s="186">
        <f>BEaH24!AG11</f>
        <v>0</v>
      </c>
      <c r="M9" s="189">
        <f>BEaH25!AG11</f>
        <v>0.23094688221709006</v>
      </c>
    </row>
    <row r="10" spans="1:28" ht="30.6" thickBot="1" x14ac:dyDescent="0.4">
      <c r="B10" s="190" t="s">
        <v>174</v>
      </c>
      <c r="C10" s="191">
        <f t="shared" si="0"/>
        <v>0.42968935672095326</v>
      </c>
      <c r="D10" s="192">
        <v>0.42852770125497397</v>
      </c>
      <c r="E10" s="193">
        <v>0.27280994240678996</v>
      </c>
      <c r="F10" s="194">
        <v>0.52910052910052907</v>
      </c>
      <c r="G10" s="194">
        <v>0.51794302626711064</v>
      </c>
      <c r="H10" s="195">
        <v>0.41739130434782606</v>
      </c>
      <c r="I10" s="195">
        <v>0.69276065119501218</v>
      </c>
      <c r="J10" s="196">
        <v>0.41167664670658682</v>
      </c>
      <c r="K10" s="195">
        <f>BEaH23!U11</f>
        <v>0.46728971962616822</v>
      </c>
      <c r="L10" s="195">
        <f>BEaH24!AG12</f>
        <v>0.28849621348719801</v>
      </c>
      <c r="M10" s="197">
        <f>BEaH25!AG12</f>
        <v>0.27089783281733748</v>
      </c>
    </row>
    <row r="11" spans="1:28" s="209" customFormat="1" ht="13.05" customHeight="1" thickBot="1" x14ac:dyDescent="0.4">
      <c r="A11" s="204"/>
      <c r="B11" s="198" t="s">
        <v>22</v>
      </c>
      <c r="C11" s="199">
        <f t="shared" si="0"/>
        <v>0.60067238987755422</v>
      </c>
      <c r="D11" s="200">
        <v>0.39311373186932358</v>
      </c>
      <c r="E11" s="201">
        <v>0.39666256326083982</v>
      </c>
      <c r="F11" s="200">
        <v>0.80096720568233337</v>
      </c>
      <c r="G11" s="200">
        <v>0.81927710843373491</v>
      </c>
      <c r="H11" s="201">
        <v>0.69627108154107997</v>
      </c>
      <c r="I11" s="201">
        <v>0.82974800245851255</v>
      </c>
      <c r="J11" s="202">
        <v>0.50202429149797567</v>
      </c>
      <c r="K11" s="201">
        <f>BEaH23!U12</f>
        <v>0.6090719666613239</v>
      </c>
      <c r="L11" s="201">
        <f>BEaH24!AG13</f>
        <v>0.51838652195042934</v>
      </c>
      <c r="M11" s="203">
        <f>BEaH25!AG13</f>
        <v>0.4412014254199898</v>
      </c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</row>
    <row r="12" spans="1:28" s="209" customFormat="1" ht="20.25" customHeight="1" thickBot="1" x14ac:dyDescent="0.4">
      <c r="B12" s="205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7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</row>
    <row r="13" spans="1:28" ht="45" customHeight="1" thickBot="1" x14ac:dyDescent="0.4">
      <c r="B13" s="210" t="s">
        <v>73</v>
      </c>
      <c r="C13" s="329" t="s">
        <v>109</v>
      </c>
      <c r="D13" s="561" t="s">
        <v>79</v>
      </c>
      <c r="E13" s="561"/>
      <c r="F13" s="561"/>
      <c r="G13" s="561"/>
      <c r="H13" s="561"/>
      <c r="I13" s="561"/>
      <c r="J13" s="561"/>
      <c r="K13" s="561"/>
      <c r="L13" s="561"/>
      <c r="M13" s="562"/>
    </row>
    <row r="14" spans="1:28" ht="25.5" customHeight="1" thickBot="1" x14ac:dyDescent="0.4">
      <c r="B14" s="171" t="s">
        <v>62</v>
      </c>
      <c r="C14" s="172" t="s">
        <v>74</v>
      </c>
      <c r="D14" s="173">
        <v>2016</v>
      </c>
      <c r="E14" s="173">
        <v>2017</v>
      </c>
      <c r="F14" s="173">
        <v>2018</v>
      </c>
      <c r="G14" s="175">
        <v>2019</v>
      </c>
      <c r="H14" s="176">
        <v>2020</v>
      </c>
      <c r="I14" s="173">
        <v>2021</v>
      </c>
      <c r="J14" s="173">
        <v>2022</v>
      </c>
      <c r="K14" s="173">
        <v>2023</v>
      </c>
      <c r="L14" s="173">
        <v>2024</v>
      </c>
      <c r="M14" s="177">
        <v>2025</v>
      </c>
    </row>
    <row r="15" spans="1:28" s="254" customFormat="1" ht="13.05" customHeight="1" x14ac:dyDescent="0.35">
      <c r="A15" s="169"/>
      <c r="B15" s="211" t="s">
        <v>4</v>
      </c>
      <c r="C15" s="212">
        <f>SUM(D15:M15)/10</f>
        <v>0.66743662826812455</v>
      </c>
      <c r="D15" s="187">
        <v>0.99009900990099009</v>
      </c>
      <c r="E15" s="186">
        <v>1</v>
      </c>
      <c r="F15" s="213">
        <v>0</v>
      </c>
      <c r="G15" s="213">
        <v>0</v>
      </c>
      <c r="H15" s="214">
        <v>0</v>
      </c>
      <c r="I15" s="186">
        <v>0</v>
      </c>
      <c r="J15" s="188">
        <v>1.2195121951219512</v>
      </c>
      <c r="K15" s="214">
        <f>BEaH23!U15</f>
        <v>0</v>
      </c>
      <c r="L15" s="215">
        <f>BEaH24!AG17</f>
        <v>1.6129032258064515</v>
      </c>
      <c r="M15" s="216">
        <f>BEaH25!AG17</f>
        <v>1.8518518518518519</v>
      </c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spans="1:28" s="254" customFormat="1" ht="13.05" customHeight="1" x14ac:dyDescent="0.35">
      <c r="A16" s="169"/>
      <c r="B16" s="217" t="s">
        <v>5</v>
      </c>
      <c r="C16" s="212">
        <f t="shared" ref="C16:C26" si="1">SUM(D16:M16)/10</f>
        <v>0.76976405579420437</v>
      </c>
      <c r="D16" s="187">
        <v>0.68027210884353739</v>
      </c>
      <c r="E16" s="186">
        <v>1.0180995475113122</v>
      </c>
      <c r="F16" s="213">
        <v>0.79522862823061635</v>
      </c>
      <c r="G16" s="213">
        <v>1.0721247563352827</v>
      </c>
      <c r="H16" s="214">
        <v>0.8637236084452975</v>
      </c>
      <c r="I16" s="186">
        <v>0.84745762711864403</v>
      </c>
      <c r="J16" s="188">
        <v>0.75046904315196994</v>
      </c>
      <c r="K16" s="186">
        <f>BEaH23!U16</f>
        <v>0.59829059829059827</v>
      </c>
      <c r="L16" s="186">
        <f>BEaH24!AG18</f>
        <v>0.6211180124223602</v>
      </c>
      <c r="M16" s="189">
        <f>BEaH25!AG18</f>
        <v>0.45085662759242562</v>
      </c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330"/>
    </row>
    <row r="17" spans="1:28" s="254" customFormat="1" ht="13.05" customHeight="1" x14ac:dyDescent="0.35">
      <c r="A17" s="169"/>
      <c r="B17" s="217" t="s">
        <v>6</v>
      </c>
      <c r="C17" s="212">
        <f t="shared" si="1"/>
        <v>0.77586280988476553</v>
      </c>
      <c r="D17" s="187">
        <v>0.42553191489361702</v>
      </c>
      <c r="E17" s="186">
        <v>1.7021276595744681</v>
      </c>
      <c r="F17" s="213">
        <v>0</v>
      </c>
      <c r="G17" s="213">
        <v>0.47619047619047616</v>
      </c>
      <c r="H17" s="214">
        <v>1.8867924528301887</v>
      </c>
      <c r="I17" s="186">
        <v>2.2727272727272729</v>
      </c>
      <c r="J17" s="188">
        <v>0</v>
      </c>
      <c r="K17" s="214">
        <f>BEaH23!U17</f>
        <v>0</v>
      </c>
      <c r="L17" s="186">
        <f>BEaH24!AG19</f>
        <v>0.47169811320754718</v>
      </c>
      <c r="M17" s="189">
        <f>BEaH25!AG19</f>
        <v>0.52356020942408377</v>
      </c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330"/>
    </row>
    <row r="18" spans="1:28" s="254" customFormat="1" ht="13.05" customHeight="1" x14ac:dyDescent="0.35">
      <c r="A18" s="169"/>
      <c r="B18" s="217" t="s">
        <v>7</v>
      </c>
      <c r="C18" s="212">
        <f t="shared" si="1"/>
        <v>0.23113443278360818</v>
      </c>
      <c r="D18" s="187">
        <v>1.4492753623188406</v>
      </c>
      <c r="E18" s="186">
        <v>0</v>
      </c>
      <c r="F18" s="213">
        <v>0</v>
      </c>
      <c r="G18" s="213">
        <v>0</v>
      </c>
      <c r="H18" s="214">
        <v>0</v>
      </c>
      <c r="I18" s="186">
        <v>0.86206896551724133</v>
      </c>
      <c r="J18" s="186">
        <v>0</v>
      </c>
      <c r="K18" s="214">
        <f>BEaH23!U18</f>
        <v>0</v>
      </c>
      <c r="L18" s="186">
        <f>BEaH24!AG20</f>
        <v>0</v>
      </c>
      <c r="M18" s="189">
        <f>BEaH25!AG20</f>
        <v>0</v>
      </c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330"/>
    </row>
    <row r="19" spans="1:28" ht="13.05" customHeight="1" x14ac:dyDescent="0.35">
      <c r="B19" s="404" t="s">
        <v>8</v>
      </c>
      <c r="C19" s="405">
        <f t="shared" si="1"/>
        <v>0</v>
      </c>
      <c r="D19" s="406">
        <v>0</v>
      </c>
      <c r="E19" s="407">
        <v>0</v>
      </c>
      <c r="F19" s="408">
        <v>0</v>
      </c>
      <c r="G19" s="408">
        <v>0</v>
      </c>
      <c r="H19" s="407">
        <v>0</v>
      </c>
      <c r="I19" s="407">
        <v>0</v>
      </c>
      <c r="J19" s="407">
        <v>0</v>
      </c>
      <c r="K19" s="407">
        <f>BEaH23!U19</f>
        <v>0</v>
      </c>
      <c r="L19" s="407">
        <f>BEaH24!AG21</f>
        <v>0</v>
      </c>
      <c r="M19" s="409">
        <f>BEaH25!AG21</f>
        <v>0</v>
      </c>
      <c r="AB19" s="330"/>
    </row>
    <row r="20" spans="1:28" ht="13.05" customHeight="1" x14ac:dyDescent="0.35">
      <c r="B20" s="217" t="s">
        <v>9</v>
      </c>
      <c r="C20" s="212">
        <f t="shared" si="1"/>
        <v>0.37735849056603776</v>
      </c>
      <c r="D20" s="187">
        <v>0</v>
      </c>
      <c r="E20" s="186">
        <v>0</v>
      </c>
      <c r="F20" s="213">
        <v>0</v>
      </c>
      <c r="G20" s="213">
        <v>0</v>
      </c>
      <c r="H20" s="186">
        <v>0</v>
      </c>
      <c r="I20" s="186">
        <v>0</v>
      </c>
      <c r="J20" s="186">
        <v>0</v>
      </c>
      <c r="K20" s="186">
        <f>BEaH23!U20</f>
        <v>3.7735849056603774</v>
      </c>
      <c r="L20" s="186">
        <f>BEaH24!AG22</f>
        <v>0</v>
      </c>
      <c r="M20" s="189">
        <f>BEaH25!AG22</f>
        <v>0</v>
      </c>
      <c r="AB20" s="330"/>
    </row>
    <row r="21" spans="1:28" ht="13.05" customHeight="1" x14ac:dyDescent="0.35">
      <c r="B21" s="217" t="s">
        <v>10</v>
      </c>
      <c r="C21" s="212">
        <f t="shared" si="1"/>
        <v>0.21739130434782608</v>
      </c>
      <c r="D21" s="187">
        <v>0</v>
      </c>
      <c r="E21" s="186">
        <v>0</v>
      </c>
      <c r="F21" s="213">
        <v>2.1739130434782608</v>
      </c>
      <c r="G21" s="213">
        <v>0</v>
      </c>
      <c r="H21" s="186">
        <v>0</v>
      </c>
      <c r="I21" s="186">
        <v>0</v>
      </c>
      <c r="J21" s="186">
        <v>0</v>
      </c>
      <c r="K21" s="186">
        <f>BEaH23!U21</f>
        <v>0</v>
      </c>
      <c r="L21" s="186">
        <f>BEaH24!AG23</f>
        <v>0</v>
      </c>
      <c r="M21" s="189">
        <f>BEaH25!AG23</f>
        <v>0</v>
      </c>
      <c r="N21" s="331"/>
      <c r="AB21" s="330"/>
    </row>
    <row r="22" spans="1:28" s="332" customFormat="1" ht="13.05" customHeight="1" x14ac:dyDescent="0.35">
      <c r="A22" s="169"/>
      <c r="B22" s="217" t="s">
        <v>11</v>
      </c>
      <c r="C22" s="212">
        <f t="shared" si="1"/>
        <v>0.9509720695602859</v>
      </c>
      <c r="D22" s="187">
        <v>0</v>
      </c>
      <c r="E22" s="186">
        <v>0.5376344086021505</v>
      </c>
      <c r="F22" s="213">
        <v>0.7142857142857143</v>
      </c>
      <c r="G22" s="213">
        <v>2.4096385542168677</v>
      </c>
      <c r="H22" s="186">
        <v>1.5765765765765767</v>
      </c>
      <c r="I22" s="186">
        <v>0.88300220750551872</v>
      </c>
      <c r="J22" s="186">
        <v>1.2195121951219512</v>
      </c>
      <c r="K22" s="186">
        <f>BEaH23!U22</f>
        <v>0.41753653444676408</v>
      </c>
      <c r="L22" s="186">
        <f>BEaH24!AG24</f>
        <v>0.82987551867219922</v>
      </c>
      <c r="M22" s="189">
        <f>BEaH25!AG24</f>
        <v>0.92165898617511521</v>
      </c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330"/>
    </row>
    <row r="23" spans="1:28" s="332" customFormat="1" ht="13.05" customHeight="1" x14ac:dyDescent="0.35">
      <c r="A23" s="169"/>
      <c r="B23" s="217" t="s">
        <v>12</v>
      </c>
      <c r="C23" s="212">
        <f t="shared" si="1"/>
        <v>0.48564115151279619</v>
      </c>
      <c r="D23" s="187">
        <v>0.69036934760096647</v>
      </c>
      <c r="E23" s="186">
        <v>0.46354073809948299</v>
      </c>
      <c r="F23" s="213">
        <v>0.48197416618469252</v>
      </c>
      <c r="G23" s="213">
        <v>0.60860440713536201</v>
      </c>
      <c r="H23" s="186">
        <v>0.46669495120916421</v>
      </c>
      <c r="I23" s="186">
        <v>0.49913194444444442</v>
      </c>
      <c r="J23" s="186">
        <v>0.2304147465437788</v>
      </c>
      <c r="K23" s="186">
        <f>BEaH23!U23</f>
        <v>0.45105999097880017</v>
      </c>
      <c r="L23" s="186">
        <f>BEaH24!AG25</f>
        <v>0.50213406979663566</v>
      </c>
      <c r="M23" s="189">
        <f>BEaH25!AG25</f>
        <v>0.46248715313463518</v>
      </c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330"/>
    </row>
    <row r="24" spans="1:28" s="333" customFormat="1" ht="13.05" customHeight="1" x14ac:dyDescent="0.35">
      <c r="A24" s="169"/>
      <c r="B24" s="410" t="s">
        <v>13</v>
      </c>
      <c r="C24" s="179">
        <f t="shared" si="1"/>
        <v>2.7348047187089461</v>
      </c>
      <c r="D24" s="180">
        <v>0</v>
      </c>
      <c r="E24" s="181">
        <v>3.5714285714285716</v>
      </c>
      <c r="F24" s="411">
        <v>9.0909090909090917</v>
      </c>
      <c r="G24" s="411">
        <v>3.4482758620689653</v>
      </c>
      <c r="H24" s="181">
        <v>0</v>
      </c>
      <c r="I24" s="181">
        <v>4.6511627906976747</v>
      </c>
      <c r="J24" s="181">
        <v>2.0408163265306123</v>
      </c>
      <c r="K24" s="181">
        <f>BEaH23!U24</f>
        <v>4.5454545454545459</v>
      </c>
      <c r="L24" s="181">
        <f>BEaH24!AG26</f>
        <v>0</v>
      </c>
      <c r="M24" s="182">
        <f>BEaH25!AG26</f>
        <v>0</v>
      </c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330"/>
    </row>
    <row r="25" spans="1:28" ht="30.6" thickBot="1" x14ac:dyDescent="0.4">
      <c r="B25" s="218" t="s">
        <v>174</v>
      </c>
      <c r="C25" s="191">
        <f t="shared" si="1"/>
        <v>0.68689730664295512</v>
      </c>
      <c r="D25" s="194">
        <v>0.88357588357588357</v>
      </c>
      <c r="E25" s="195">
        <v>0.33641715727502103</v>
      </c>
      <c r="F25" s="219">
        <v>0.77661032434901778</v>
      </c>
      <c r="G25" s="219">
        <v>0.71942446043165464</v>
      </c>
      <c r="H25" s="195">
        <v>0.38379530916844351</v>
      </c>
      <c r="I25" s="195">
        <v>1.0615711252653928</v>
      </c>
      <c r="J25" s="193">
        <v>0.84182543198936644</v>
      </c>
      <c r="K25" s="195">
        <f>BEaH23!U25</f>
        <v>0.36199095022624433</v>
      </c>
      <c r="L25" s="195">
        <f>BEaH24!AG27</f>
        <v>1.0015022533800702</v>
      </c>
      <c r="M25" s="220">
        <f>BEaH25!AG27</f>
        <v>0.50226017076845808</v>
      </c>
      <c r="AB25" s="330"/>
    </row>
    <row r="26" spans="1:28" ht="13.05" customHeight="1" thickBot="1" x14ac:dyDescent="0.4">
      <c r="B26" s="198" t="s">
        <v>22</v>
      </c>
      <c r="C26" s="199">
        <f t="shared" si="1"/>
        <v>0.59928562383414463</v>
      </c>
      <c r="D26" s="200">
        <v>0.69595928118832451</v>
      </c>
      <c r="E26" s="221">
        <v>0.51656031601336982</v>
      </c>
      <c r="F26" s="222">
        <v>0.59372349448685324</v>
      </c>
      <c r="G26" s="223">
        <v>0.75513603553581343</v>
      </c>
      <c r="H26" s="221">
        <v>0.56068601583113453</v>
      </c>
      <c r="I26" s="221">
        <v>0.75999559422843921</v>
      </c>
      <c r="J26" s="202">
        <v>0.50790067720090293</v>
      </c>
      <c r="K26" s="224">
        <f>BEaH23!U26</f>
        <v>0.45315509233035006</v>
      </c>
      <c r="L26" s="224">
        <f>BEaH24!AG28</f>
        <v>0.65399802566633758</v>
      </c>
      <c r="M26" s="203">
        <f>BEaH25!AG28</f>
        <v>0.49574170585992117</v>
      </c>
      <c r="AB26" s="330"/>
    </row>
    <row r="27" spans="1:28" s="209" customFormat="1" ht="20.25" customHeight="1" thickBot="1" x14ac:dyDescent="0.4">
      <c r="B27" s="205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7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</row>
    <row r="28" spans="1:28" ht="45" customHeight="1" thickBot="1" x14ac:dyDescent="0.4">
      <c r="B28" s="170" t="s">
        <v>73</v>
      </c>
      <c r="C28" s="329" t="s">
        <v>109</v>
      </c>
      <c r="D28" s="556" t="s">
        <v>79</v>
      </c>
      <c r="E28" s="557"/>
      <c r="F28" s="557"/>
      <c r="G28" s="557"/>
      <c r="H28" s="557"/>
      <c r="I28" s="557"/>
      <c r="J28" s="557"/>
      <c r="K28" s="557"/>
      <c r="L28" s="557"/>
      <c r="M28" s="558"/>
    </row>
    <row r="29" spans="1:28" ht="25.5" customHeight="1" thickBot="1" x14ac:dyDescent="0.4">
      <c r="B29" s="171" t="s">
        <v>63</v>
      </c>
      <c r="C29" s="172" t="s">
        <v>74</v>
      </c>
      <c r="D29" s="173">
        <v>2016</v>
      </c>
      <c r="E29" s="173">
        <v>2017</v>
      </c>
      <c r="F29" s="175">
        <v>2018</v>
      </c>
      <c r="G29" s="175">
        <v>2019</v>
      </c>
      <c r="H29" s="176">
        <v>2020</v>
      </c>
      <c r="I29" s="173">
        <v>2021</v>
      </c>
      <c r="J29" s="173">
        <v>2022</v>
      </c>
      <c r="K29" s="173">
        <v>2023</v>
      </c>
      <c r="L29" s="173">
        <v>2024</v>
      </c>
      <c r="M29" s="177">
        <v>2025</v>
      </c>
    </row>
    <row r="30" spans="1:28" ht="13.05" hidden="1" customHeight="1" x14ac:dyDescent="0.35">
      <c r="B30" s="225" t="s">
        <v>133</v>
      </c>
      <c r="C30" s="184">
        <f>SUM(D30:M30)/10</f>
        <v>0.15574987959817757</v>
      </c>
      <c r="D30" s="226" t="s">
        <v>126</v>
      </c>
      <c r="E30" s="226" t="s">
        <v>126</v>
      </c>
      <c r="F30" s="226" t="s">
        <v>126</v>
      </c>
      <c r="G30" s="226" t="s">
        <v>126</v>
      </c>
      <c r="H30" s="226" t="s">
        <v>126</v>
      </c>
      <c r="I30" s="226" t="s">
        <v>126</v>
      </c>
      <c r="J30" s="226" t="s">
        <v>126</v>
      </c>
      <c r="K30" s="226" t="s">
        <v>126</v>
      </c>
      <c r="L30" s="187">
        <f>BEaH24!AG32</f>
        <v>0.91201716738197425</v>
      </c>
      <c r="M30" s="216">
        <f>BEaH25!AG32</f>
        <v>0.6454816285998014</v>
      </c>
    </row>
    <row r="31" spans="1:28" ht="13.05" hidden="1" customHeight="1" x14ac:dyDescent="0.35">
      <c r="B31" s="227" t="s">
        <v>150</v>
      </c>
      <c r="C31" s="184">
        <f t="shared" ref="C31:C35" si="2">SUM(D31:M31)/10</f>
        <v>2.6655757136856573E-2</v>
      </c>
      <c r="D31" s="226" t="s">
        <v>126</v>
      </c>
      <c r="E31" s="226" t="s">
        <v>126</v>
      </c>
      <c r="F31" s="226" t="s">
        <v>126</v>
      </c>
      <c r="G31" s="226" t="s">
        <v>126</v>
      </c>
      <c r="H31" s="226" t="s">
        <v>126</v>
      </c>
      <c r="I31" s="226" t="s">
        <v>126</v>
      </c>
      <c r="J31" s="226" t="s">
        <v>126</v>
      </c>
      <c r="K31" s="226" t="s">
        <v>126</v>
      </c>
      <c r="L31" s="187">
        <f>BEaH24!AG33</f>
        <v>0.13721454474174263</v>
      </c>
      <c r="M31" s="216">
        <f>BEaH25!AG33</f>
        <v>0.12934302662682307</v>
      </c>
    </row>
    <row r="32" spans="1:28" ht="30" hidden="1" x14ac:dyDescent="0.35">
      <c r="B32" s="228" t="s">
        <v>134</v>
      </c>
      <c r="C32" s="184">
        <f t="shared" si="2"/>
        <v>0.12608134054912984</v>
      </c>
      <c r="D32" s="226" t="s">
        <v>126</v>
      </c>
      <c r="E32" s="226" t="s">
        <v>126</v>
      </c>
      <c r="F32" s="226" t="s">
        <v>126</v>
      </c>
      <c r="G32" s="226" t="s">
        <v>126</v>
      </c>
      <c r="H32" s="226" t="s">
        <v>126</v>
      </c>
      <c r="I32" s="226" t="s">
        <v>126</v>
      </c>
      <c r="J32" s="226" t="s">
        <v>126</v>
      </c>
      <c r="K32" s="226" t="s">
        <v>126</v>
      </c>
      <c r="L32" s="187">
        <f>BEaH24!AG34</f>
        <v>0.6334002780781709</v>
      </c>
      <c r="M32" s="216">
        <f>BEaH25!AG34</f>
        <v>0.62741312741312738</v>
      </c>
    </row>
    <row r="33" spans="1:27" ht="13.05" customHeight="1" x14ac:dyDescent="0.35">
      <c r="B33" s="183" t="s">
        <v>15</v>
      </c>
      <c r="C33" s="184">
        <f>SUM(D33:K33)/8</f>
        <v>0.11652040146150532</v>
      </c>
      <c r="D33" s="187">
        <v>0.11811023622047244</v>
      </c>
      <c r="E33" s="186">
        <v>0.10058338362502514</v>
      </c>
      <c r="F33" s="213">
        <v>0.15598507968802985</v>
      </c>
      <c r="G33" s="213">
        <v>0.16327110101512032</v>
      </c>
      <c r="H33" s="186">
        <v>8.4471350133746306E-2</v>
      </c>
      <c r="I33" s="186">
        <v>0.16223460534668829</v>
      </c>
      <c r="J33" s="188">
        <v>8.7469932210802542E-2</v>
      </c>
      <c r="K33" s="188">
        <f>BEaH23!U29</f>
        <v>6.0037523452157598E-2</v>
      </c>
      <c r="L33" s="186" t="s">
        <v>126</v>
      </c>
      <c r="M33" s="229" t="s">
        <v>126</v>
      </c>
    </row>
    <row r="34" spans="1:27" ht="13.05" hidden="1" customHeight="1" x14ac:dyDescent="0.35">
      <c r="B34" s="183" t="s">
        <v>135</v>
      </c>
      <c r="C34" s="184">
        <f t="shared" si="2"/>
        <v>2.4217728666999172E-2</v>
      </c>
      <c r="D34" s="226" t="s">
        <v>126</v>
      </c>
      <c r="E34" s="226" t="s">
        <v>126</v>
      </c>
      <c r="F34" s="226" t="s">
        <v>126</v>
      </c>
      <c r="G34" s="226" t="s">
        <v>126</v>
      </c>
      <c r="H34" s="226" t="s">
        <v>126</v>
      </c>
      <c r="I34" s="226" t="s">
        <v>126</v>
      </c>
      <c r="J34" s="226" t="s">
        <v>126</v>
      </c>
      <c r="K34" s="226" t="s">
        <v>126</v>
      </c>
      <c r="L34" s="187">
        <f>BEaH24!AG35</f>
        <v>0.13270421704511942</v>
      </c>
      <c r="M34" s="216">
        <f>BEaH25!AG35</f>
        <v>0.10947306962487229</v>
      </c>
    </row>
    <row r="35" spans="1:27" ht="13.05" hidden="1" customHeight="1" x14ac:dyDescent="0.35">
      <c r="B35" s="183" t="s">
        <v>136</v>
      </c>
      <c r="C35" s="184">
        <f t="shared" si="2"/>
        <v>0.12243971890028257</v>
      </c>
      <c r="D35" s="226" t="s">
        <v>126</v>
      </c>
      <c r="E35" s="226" t="s">
        <v>126</v>
      </c>
      <c r="F35" s="226" t="s">
        <v>126</v>
      </c>
      <c r="G35" s="226" t="s">
        <v>126</v>
      </c>
      <c r="H35" s="226" t="s">
        <v>126</v>
      </c>
      <c r="I35" s="226" t="s">
        <v>126</v>
      </c>
      <c r="J35" s="226" t="s">
        <v>126</v>
      </c>
      <c r="K35" s="226" t="s">
        <v>126</v>
      </c>
      <c r="L35" s="187">
        <f>BEaH24!AG36</f>
        <v>0.68322981366459623</v>
      </c>
      <c r="M35" s="216">
        <f>BEaH25!AG36</f>
        <v>0.54116737533822956</v>
      </c>
    </row>
    <row r="36" spans="1:27" ht="13.05" customHeight="1" x14ac:dyDescent="0.35">
      <c r="B36" s="183" t="s">
        <v>34</v>
      </c>
      <c r="C36" s="184">
        <f>SUM(D36:M36)/10</f>
        <v>0.430294333094764</v>
      </c>
      <c r="D36" s="187">
        <v>0.30358227079538552</v>
      </c>
      <c r="E36" s="186">
        <v>0.50505050505050508</v>
      </c>
      <c r="F36" s="213">
        <v>0.68699012451696007</v>
      </c>
      <c r="G36" s="213">
        <v>0.48010973936899864</v>
      </c>
      <c r="H36" s="186">
        <v>0.47307952241495832</v>
      </c>
      <c r="I36" s="186">
        <v>0.41105275176981043</v>
      </c>
      <c r="J36" s="188">
        <v>0.44371788883699204</v>
      </c>
      <c r="K36" s="188">
        <f>BEaH23!U31</f>
        <v>0.30952380952380953</v>
      </c>
      <c r="L36" s="186">
        <f>BEaH24!AG37</f>
        <v>0.35997120230381568</v>
      </c>
      <c r="M36" s="216">
        <f>BEaH25!AG37</f>
        <v>0.32986551636640449</v>
      </c>
    </row>
    <row r="37" spans="1:27" ht="13.05" hidden="1" customHeight="1" x14ac:dyDescent="0.35">
      <c r="B37" s="183" t="s">
        <v>137</v>
      </c>
      <c r="C37" s="184">
        <f t="shared" ref="C37:C39" si="3">SUM(D37:M37)/10</f>
        <v>6.2184093750228465E-2</v>
      </c>
      <c r="D37" s="226" t="s">
        <v>126</v>
      </c>
      <c r="E37" s="226" t="s">
        <v>126</v>
      </c>
      <c r="F37" s="226" t="s">
        <v>126</v>
      </c>
      <c r="G37" s="226" t="s">
        <v>126</v>
      </c>
      <c r="H37" s="226" t="s">
        <v>126</v>
      </c>
      <c r="I37" s="226" t="s">
        <v>126</v>
      </c>
      <c r="J37" s="226" t="s">
        <v>126</v>
      </c>
      <c r="K37" s="226" t="s">
        <v>126</v>
      </c>
      <c r="L37" s="187">
        <f>BEaH24!AG38</f>
        <v>0.35135135135135137</v>
      </c>
      <c r="M37" s="216">
        <f>BEaH25!AG38</f>
        <v>0.27048958615093321</v>
      </c>
    </row>
    <row r="38" spans="1:27" ht="13.05" customHeight="1" x14ac:dyDescent="0.35">
      <c r="B38" s="183" t="s">
        <v>138</v>
      </c>
      <c r="C38" s="184">
        <f t="shared" si="3"/>
        <v>0.31130737361867167</v>
      </c>
      <c r="D38" s="187">
        <v>0.31881219684375928</v>
      </c>
      <c r="E38" s="186">
        <v>0.34654037195333254</v>
      </c>
      <c r="F38" s="213">
        <v>0.36019492902041106</v>
      </c>
      <c r="G38" s="213">
        <v>0.36028318762439848</v>
      </c>
      <c r="H38" s="186">
        <v>0.33360315941815682</v>
      </c>
      <c r="I38" s="186">
        <v>0.32385839914302084</v>
      </c>
      <c r="J38" s="186">
        <v>0.28912539567807383</v>
      </c>
      <c r="K38" s="188">
        <f>BEaH23!U29</f>
        <v>6.0037523452157598E-2</v>
      </c>
      <c r="L38" s="186">
        <f>BEaH24!AG39</f>
        <v>0.34477964687891005</v>
      </c>
      <c r="M38" s="216">
        <f>BEaH25!AG39</f>
        <v>0.37583892617449666</v>
      </c>
    </row>
    <row r="39" spans="1:27" s="254" customFormat="1" ht="13.05" customHeight="1" x14ac:dyDescent="0.35">
      <c r="A39" s="169"/>
      <c r="B39" s="183" t="s">
        <v>16</v>
      </c>
      <c r="C39" s="184">
        <f t="shared" si="3"/>
        <v>0.26818299156993441</v>
      </c>
      <c r="D39" s="187">
        <v>0.26254826254826252</v>
      </c>
      <c r="E39" s="186">
        <v>0.28284098051539913</v>
      </c>
      <c r="F39" s="213">
        <v>0.30216284987277353</v>
      </c>
      <c r="G39" s="213">
        <v>0.29244796146568036</v>
      </c>
      <c r="H39" s="186">
        <v>0.30601836110166608</v>
      </c>
      <c r="I39" s="186">
        <v>0.34728251432540369</v>
      </c>
      <c r="J39" s="188">
        <v>0.33676001417936902</v>
      </c>
      <c r="K39" s="188">
        <f>BEaH23!U30</f>
        <v>0.30346304891110315</v>
      </c>
      <c r="L39" s="186">
        <f>BEaH24!AG40</f>
        <v>7.982969664715274E-2</v>
      </c>
      <c r="M39" s="216">
        <f>BEaH25!AG40</f>
        <v>0.16847622613253463</v>
      </c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</row>
    <row r="40" spans="1:27" ht="13.05" customHeight="1" x14ac:dyDescent="0.35">
      <c r="B40" s="183" t="s">
        <v>17</v>
      </c>
      <c r="C40" s="184">
        <f>SUM(D40:K40)/8</f>
        <v>5.1878313202021048E-2</v>
      </c>
      <c r="D40" s="187">
        <v>7.3522924447842836E-2</v>
      </c>
      <c r="E40" s="186">
        <v>3.0806198207079263E-2</v>
      </c>
      <c r="F40" s="213">
        <v>5.8357392960255543E-2</v>
      </c>
      <c r="G40" s="213">
        <v>7.104566298520959E-2</v>
      </c>
      <c r="H40" s="186">
        <v>6.0875973214571784E-2</v>
      </c>
      <c r="I40" s="186">
        <v>5.6971039721474916E-2</v>
      </c>
      <c r="J40" s="186">
        <v>2.3163467902051621E-2</v>
      </c>
      <c r="K40" s="188">
        <f>BEaH23!U32</f>
        <v>4.0283846177682749E-2</v>
      </c>
      <c r="L40" s="186" t="s">
        <v>126</v>
      </c>
      <c r="M40" s="229" t="s">
        <v>126</v>
      </c>
    </row>
    <row r="41" spans="1:27" ht="13.05" hidden="1" customHeight="1" x14ac:dyDescent="0.35">
      <c r="B41" s="183" t="s">
        <v>139</v>
      </c>
      <c r="C41" s="184">
        <f t="shared" ref="C41:C50" si="4">SUM(D41:M41)/10</f>
        <v>3.8521612563943562E-2</v>
      </c>
      <c r="D41" s="226" t="s">
        <v>126</v>
      </c>
      <c r="E41" s="226" t="s">
        <v>126</v>
      </c>
      <c r="F41" s="226" t="s">
        <v>126</v>
      </c>
      <c r="G41" s="226" t="s">
        <v>126</v>
      </c>
      <c r="H41" s="226" t="s">
        <v>126</v>
      </c>
      <c r="I41" s="226" t="s">
        <v>126</v>
      </c>
      <c r="J41" s="226" t="s">
        <v>126</v>
      </c>
      <c r="K41" s="226" t="s">
        <v>126</v>
      </c>
      <c r="L41" s="187">
        <f>BEaH24!AG42</f>
        <v>0.19052155275065491</v>
      </c>
      <c r="M41" s="216">
        <f>BEaH25!AG42</f>
        <v>0.19469457288878073</v>
      </c>
    </row>
    <row r="42" spans="1:27" ht="13.05" hidden="1" customHeight="1" x14ac:dyDescent="0.35">
      <c r="B42" s="183" t="s">
        <v>140</v>
      </c>
      <c r="C42" s="184">
        <f t="shared" si="4"/>
        <v>0.20534627339141714</v>
      </c>
      <c r="D42" s="226" t="s">
        <v>126</v>
      </c>
      <c r="E42" s="226" t="s">
        <v>126</v>
      </c>
      <c r="F42" s="226" t="s">
        <v>126</v>
      </c>
      <c r="G42" s="226" t="s">
        <v>126</v>
      </c>
      <c r="H42" s="226" t="s">
        <v>126</v>
      </c>
      <c r="I42" s="226" t="s">
        <v>126</v>
      </c>
      <c r="J42" s="226" t="s">
        <v>126</v>
      </c>
      <c r="K42" s="226" t="s">
        <v>126</v>
      </c>
      <c r="L42" s="187">
        <f>BEaH24!AG43</f>
        <v>1.1166945840312674</v>
      </c>
      <c r="M42" s="216">
        <f>BEaH25!AG43</f>
        <v>0.93676814988290402</v>
      </c>
    </row>
    <row r="43" spans="1:27" ht="13.05" customHeight="1" x14ac:dyDescent="0.35">
      <c r="B43" s="183" t="s">
        <v>18</v>
      </c>
      <c r="C43" s="184">
        <f t="shared" ref="C43" si="5">SUM(D43:L43)/8</f>
        <v>0.14391340715678907</v>
      </c>
      <c r="D43" s="187">
        <v>0.18234473881797705</v>
      </c>
      <c r="E43" s="186">
        <v>0.14135044036098729</v>
      </c>
      <c r="F43" s="213">
        <v>0.1012829169480081</v>
      </c>
      <c r="G43" s="213">
        <v>0.18101887768295838</v>
      </c>
      <c r="H43" s="186">
        <v>0.15321756894790603</v>
      </c>
      <c r="I43" s="186">
        <v>0.14301036825169824</v>
      </c>
      <c r="J43" s="186">
        <v>0.14511873350923482</v>
      </c>
      <c r="K43" s="188">
        <f>BEaH23!U33</f>
        <v>0.10396361273554255</v>
      </c>
      <c r="L43" s="186" t="s">
        <v>126</v>
      </c>
      <c r="M43" s="229" t="s">
        <v>126</v>
      </c>
    </row>
    <row r="44" spans="1:27" ht="30" x14ac:dyDescent="0.35">
      <c r="B44" s="475" t="s">
        <v>172</v>
      </c>
      <c r="C44" s="179">
        <f>SUM(D44:M44)/10</f>
        <v>0.96423552911578514</v>
      </c>
      <c r="D44" s="180">
        <v>2.3255813953488373</v>
      </c>
      <c r="E44" s="181">
        <v>0.71258907363420432</v>
      </c>
      <c r="F44" s="411">
        <v>1.2552301255230125</v>
      </c>
      <c r="G44" s="411">
        <v>1.2048192771084338</v>
      </c>
      <c r="H44" s="181">
        <v>0.30557677616501144</v>
      </c>
      <c r="I44" s="181">
        <v>0.15982951518380395</v>
      </c>
      <c r="J44" s="181">
        <v>2.2189349112426036</v>
      </c>
      <c r="K44" s="476">
        <f>BEaH23!U36</f>
        <v>0.5270092226613966</v>
      </c>
      <c r="L44" s="181">
        <f>BEaH24!AG41</f>
        <v>0.45385779122541603</v>
      </c>
      <c r="M44" s="477">
        <f>BEaH25!AG41</f>
        <v>0.47892720306513409</v>
      </c>
    </row>
    <row r="45" spans="1:27" ht="13.05" hidden="1" customHeight="1" x14ac:dyDescent="0.35">
      <c r="B45" s="183" t="s">
        <v>141</v>
      </c>
      <c r="C45" s="184">
        <f t="shared" si="4"/>
        <v>4.6339679353675237E-2</v>
      </c>
      <c r="D45" s="226" t="s">
        <v>126</v>
      </c>
      <c r="E45" s="226" t="s">
        <v>126</v>
      </c>
      <c r="F45" s="226" t="s">
        <v>126</v>
      </c>
      <c r="G45" s="226" t="s">
        <v>126</v>
      </c>
      <c r="H45" s="226" t="s">
        <v>126</v>
      </c>
      <c r="I45" s="226" t="s">
        <v>126</v>
      </c>
      <c r="J45" s="226" t="s">
        <v>126</v>
      </c>
      <c r="K45" s="226" t="s">
        <v>126</v>
      </c>
      <c r="L45" s="187">
        <f>BEaH24!AG44</f>
        <v>0.23632066896927831</v>
      </c>
      <c r="M45" s="216">
        <f>BEaH25!AG44</f>
        <v>0.22707612456747406</v>
      </c>
    </row>
    <row r="46" spans="1:27" ht="13.05" hidden="1" customHeight="1" x14ac:dyDescent="0.35">
      <c r="B46" s="183" t="s">
        <v>142</v>
      </c>
      <c r="C46" s="184">
        <f t="shared" si="4"/>
        <v>0</v>
      </c>
      <c r="D46" s="226" t="s">
        <v>126</v>
      </c>
      <c r="E46" s="226" t="s">
        <v>126</v>
      </c>
      <c r="F46" s="226" t="s">
        <v>126</v>
      </c>
      <c r="G46" s="226" t="s">
        <v>126</v>
      </c>
      <c r="H46" s="226" t="s">
        <v>126</v>
      </c>
      <c r="I46" s="226" t="s">
        <v>126</v>
      </c>
      <c r="J46" s="226" t="s">
        <v>126</v>
      </c>
      <c r="K46" s="226" t="s">
        <v>126</v>
      </c>
      <c r="L46" s="187">
        <f>BEaH24!AG45</f>
        <v>0</v>
      </c>
      <c r="M46" s="216">
        <f>BEaH25!AG45</f>
        <v>0</v>
      </c>
    </row>
    <row r="47" spans="1:27" ht="13.05" hidden="1" customHeight="1" x14ac:dyDescent="0.35">
      <c r="B47" s="183" t="s">
        <v>20</v>
      </c>
      <c r="C47" s="184">
        <f>SUM(D47:K47)/8</f>
        <v>0.19851669846164524</v>
      </c>
      <c r="D47" s="187">
        <v>0.16185515435096084</v>
      </c>
      <c r="E47" s="186">
        <v>0.19190559390484921</v>
      </c>
      <c r="F47" s="213">
        <v>0.25319437084142965</v>
      </c>
      <c r="G47" s="213">
        <v>0.23025204924323828</v>
      </c>
      <c r="H47" s="186">
        <v>0.22027743049354051</v>
      </c>
      <c r="I47" s="186">
        <v>0.16209366066428929</v>
      </c>
      <c r="J47" s="186">
        <v>0.22740542699978489</v>
      </c>
      <c r="K47" s="188">
        <f>BEaH23!U35</f>
        <v>0.14114990119506918</v>
      </c>
      <c r="L47" s="186" t="s">
        <v>126</v>
      </c>
      <c r="M47" s="229" t="s">
        <v>126</v>
      </c>
    </row>
    <row r="48" spans="1:27" ht="13.05" hidden="1" customHeight="1" x14ac:dyDescent="0.35">
      <c r="B48" s="183" t="s">
        <v>143</v>
      </c>
      <c r="C48" s="184">
        <f t="shared" si="4"/>
        <v>0.10248273402749941</v>
      </c>
      <c r="D48" s="226" t="s">
        <v>126</v>
      </c>
      <c r="E48" s="226" t="s">
        <v>126</v>
      </c>
      <c r="F48" s="226" t="s">
        <v>126</v>
      </c>
      <c r="G48" s="226" t="s">
        <v>126</v>
      </c>
      <c r="H48" s="226" t="s">
        <v>126</v>
      </c>
      <c r="I48" s="226" t="s">
        <v>126</v>
      </c>
      <c r="J48" s="226" t="s">
        <v>126</v>
      </c>
      <c r="K48" s="226" t="s">
        <v>126</v>
      </c>
      <c r="L48" s="187">
        <f>BEaH24!AG46</f>
        <v>0.54554471813522898</v>
      </c>
      <c r="M48" s="216">
        <f>BEaH25!AG46</f>
        <v>0.47928262213976502</v>
      </c>
    </row>
    <row r="49" spans="2:28" ht="30" hidden="1" x14ac:dyDescent="0.35">
      <c r="B49" s="230" t="s">
        <v>144</v>
      </c>
      <c r="C49" s="184">
        <f t="shared" si="4"/>
        <v>4.4052863436123343E-2</v>
      </c>
      <c r="D49" s="226" t="s">
        <v>126</v>
      </c>
      <c r="E49" s="226" t="s">
        <v>126</v>
      </c>
      <c r="F49" s="226" t="s">
        <v>126</v>
      </c>
      <c r="G49" s="226" t="s">
        <v>126</v>
      </c>
      <c r="H49" s="226" t="s">
        <v>126</v>
      </c>
      <c r="I49" s="226" t="s">
        <v>126</v>
      </c>
      <c r="J49" s="226" t="s">
        <v>126</v>
      </c>
      <c r="K49" s="226" t="s">
        <v>126</v>
      </c>
      <c r="L49" s="187">
        <f>BEaH24!AG47</f>
        <v>0</v>
      </c>
      <c r="M49" s="216">
        <f>BEaH25!AG47</f>
        <v>0.44052863436123346</v>
      </c>
    </row>
    <row r="50" spans="2:28" ht="13.05" hidden="1" customHeight="1" x14ac:dyDescent="0.35">
      <c r="B50" s="183" t="s">
        <v>145</v>
      </c>
      <c r="C50" s="184">
        <f t="shared" si="4"/>
        <v>4.5994724322359681E-2</v>
      </c>
      <c r="D50" s="226" t="s">
        <v>126</v>
      </c>
      <c r="E50" s="226" t="s">
        <v>126</v>
      </c>
      <c r="F50" s="226" t="s">
        <v>126</v>
      </c>
      <c r="G50" s="226" t="s">
        <v>126</v>
      </c>
      <c r="H50" s="226" t="s">
        <v>126</v>
      </c>
      <c r="I50" s="226" t="s">
        <v>126</v>
      </c>
      <c r="J50" s="226" t="s">
        <v>126</v>
      </c>
      <c r="K50" s="226" t="s">
        <v>126</v>
      </c>
      <c r="L50" s="187">
        <f>BEaH24!AG48</f>
        <v>0.2861685214626391</v>
      </c>
      <c r="M50" s="216">
        <f>BEaH25!AG48</f>
        <v>0.17377872176095771</v>
      </c>
    </row>
    <row r="51" spans="2:28" ht="30.6" thickBot="1" x14ac:dyDescent="0.4">
      <c r="B51" s="231" t="s">
        <v>146</v>
      </c>
      <c r="C51" s="191">
        <f>SUM(D51:M51)/10</f>
        <v>0.1729930718699193</v>
      </c>
      <c r="D51" s="194">
        <v>0.1881322872426317</v>
      </c>
      <c r="E51" s="232">
        <v>0.17994711249685341</v>
      </c>
      <c r="F51" s="219">
        <v>0.1668639802783827</v>
      </c>
      <c r="G51" s="219">
        <v>0.19551606722237816</v>
      </c>
      <c r="H51" s="232">
        <v>0.16805501516479704</v>
      </c>
      <c r="I51" s="232">
        <v>0.18513247184443657</v>
      </c>
      <c r="J51" s="233">
        <v>0.17965071333192775</v>
      </c>
      <c r="K51" s="196">
        <f>BEaH23!U37</f>
        <v>0.15715536021158477</v>
      </c>
      <c r="L51" s="195">
        <f>BEaH24!AG49</f>
        <v>0.16494227020542809</v>
      </c>
      <c r="M51" s="216">
        <f>BEaH25!AG49</f>
        <v>0.14453544070077295</v>
      </c>
    </row>
    <row r="52" spans="2:28" ht="13.05" customHeight="1" thickBot="1" x14ac:dyDescent="0.4">
      <c r="B52" s="234" t="s">
        <v>22</v>
      </c>
      <c r="C52" s="235">
        <f>SUM(D52:M52)/10</f>
        <v>0.18543303679015052</v>
      </c>
      <c r="D52" s="236">
        <v>0.19164345403899721</v>
      </c>
      <c r="E52" s="221">
        <v>0.18705881494134566</v>
      </c>
      <c r="F52" s="237">
        <v>0.18701085311540624</v>
      </c>
      <c r="G52" s="238">
        <v>0.206016638959506</v>
      </c>
      <c r="H52" s="221">
        <v>0.1790113203012621</v>
      </c>
      <c r="I52" s="221">
        <v>0.18835528035959037</v>
      </c>
      <c r="J52" s="237">
        <v>0.18488109823778318</v>
      </c>
      <c r="K52" s="221">
        <f>BEaH23!U38</f>
        <v>0.16059206150362362</v>
      </c>
      <c r="L52" s="201">
        <f>BEaH24!AG50</f>
        <v>0.19502483022901163</v>
      </c>
      <c r="M52" s="203">
        <f>BEaH25!AG50</f>
        <v>0.17473601621497925</v>
      </c>
    </row>
    <row r="53" spans="2:28" s="209" customFormat="1" ht="20.25" customHeight="1" thickBot="1" x14ac:dyDescent="0.4"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7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</row>
    <row r="54" spans="2:28" ht="45" customHeight="1" thickBot="1" x14ac:dyDescent="0.4">
      <c r="B54" s="170" t="s">
        <v>73</v>
      </c>
      <c r="C54" s="329" t="s">
        <v>109</v>
      </c>
      <c r="D54" s="556" t="s">
        <v>79</v>
      </c>
      <c r="E54" s="557"/>
      <c r="F54" s="557"/>
      <c r="G54" s="557"/>
      <c r="H54" s="557"/>
      <c r="I54" s="557"/>
      <c r="J54" s="557"/>
      <c r="K54" s="557"/>
      <c r="L54" s="557"/>
      <c r="M54" s="558"/>
    </row>
    <row r="55" spans="2:28" ht="25.5" customHeight="1" thickBot="1" x14ac:dyDescent="0.4">
      <c r="B55" s="171" t="s">
        <v>180</v>
      </c>
      <c r="C55" s="172" t="s">
        <v>74</v>
      </c>
      <c r="D55" s="173">
        <v>2016</v>
      </c>
      <c r="E55" s="173">
        <v>2017</v>
      </c>
      <c r="F55" s="175">
        <v>2018</v>
      </c>
      <c r="G55" s="175">
        <v>2019</v>
      </c>
      <c r="H55" s="176">
        <v>2020</v>
      </c>
      <c r="I55" s="173">
        <v>2021</v>
      </c>
      <c r="J55" s="173">
        <v>2022</v>
      </c>
      <c r="K55" s="173">
        <v>2023</v>
      </c>
      <c r="L55" s="173">
        <v>2024</v>
      </c>
      <c r="M55" s="177">
        <v>2025</v>
      </c>
    </row>
    <row r="56" spans="2:28" x14ac:dyDescent="0.35">
      <c r="B56" s="225" t="s">
        <v>64</v>
      </c>
      <c r="C56" s="184">
        <f>SUM(D56:M56)/10</f>
        <v>0.52050175103937957</v>
      </c>
      <c r="D56" s="187">
        <f>BEaH16!U40</f>
        <v>0.55172413793103448</v>
      </c>
      <c r="E56" s="187">
        <f>BEaH17!U40</f>
        <v>1.2755102040816326</v>
      </c>
      <c r="F56" s="187">
        <f>BEaH18!U40</f>
        <v>0.7847533632286996</v>
      </c>
      <c r="G56" s="187">
        <f>BEaH19!U40</f>
        <v>0.53078556263269638</v>
      </c>
      <c r="H56" s="187">
        <f>BEaH20!U40</f>
        <v>0.48567265662943176</v>
      </c>
      <c r="I56" s="187">
        <f>BEaH21!U40</f>
        <v>0.16835016835016836</v>
      </c>
      <c r="J56" s="187">
        <f>BEaH22!U40</f>
        <v>0.25723472668810288</v>
      </c>
      <c r="K56" s="187">
        <f>BEaH23!U41</f>
        <v>0.54911531421598536</v>
      </c>
      <c r="L56" s="187">
        <f>BEaH24!AG54</f>
        <v>0.40556199304750867</v>
      </c>
      <c r="M56" s="216">
        <f>BEaH25!AG54</f>
        <v>0.19630938358853553</v>
      </c>
    </row>
    <row r="57" spans="2:28" ht="30.6" thickBot="1" x14ac:dyDescent="0.4">
      <c r="B57" s="231" t="s">
        <v>27</v>
      </c>
      <c r="C57" s="191">
        <f>SUM(D57:M57)/10</f>
        <v>2.7796287720928282E-2</v>
      </c>
      <c r="D57" s="194">
        <f>BEaH16!U41</f>
        <v>2.7297123875766181E-2</v>
      </c>
      <c r="E57" s="232">
        <f>BEaH17!U41</f>
        <v>2.5479780732331366E-2</v>
      </c>
      <c r="F57" s="219">
        <f>BEaH18!U41</f>
        <v>2.7559244363974299E-2</v>
      </c>
      <c r="G57" s="219">
        <f>BEaH19!U41</f>
        <v>3.2855274025042347E-2</v>
      </c>
      <c r="H57" s="232">
        <f>BEaH20!U41</f>
        <v>2.7205640636158563E-2</v>
      </c>
      <c r="I57" s="232">
        <f>BEaH21!U41</f>
        <v>2.9270123209706674E-2</v>
      </c>
      <c r="J57" s="233">
        <f>BEaH22!U41</f>
        <v>2.5123252515702032E-2</v>
      </c>
      <c r="K57" s="196">
        <f>BEaH23!U42</f>
        <v>2.9750402464556704E-2</v>
      </c>
      <c r="L57" s="195">
        <f>BEaH24!AG55</f>
        <v>2.5835988698838491E-2</v>
      </c>
      <c r="M57" s="216">
        <f>BEaH25!AG55</f>
        <v>2.7586046687206173E-2</v>
      </c>
    </row>
    <row r="58" spans="2:28" ht="15.6" thickBot="1" x14ac:dyDescent="0.4">
      <c r="B58" s="234" t="s">
        <v>22</v>
      </c>
      <c r="C58" s="235">
        <f>SUM(D58:M58)/10</f>
        <v>8.4295247123423359E-2</v>
      </c>
      <c r="D58" s="236">
        <f>BEaH16!U42</f>
        <v>2.8641542258650808E-2</v>
      </c>
      <c r="E58" s="221">
        <f>BEaH17!U42</f>
        <v>2.8938350725752661E-2</v>
      </c>
      <c r="F58" s="237">
        <f>BEaH18!U42</f>
        <v>2.9717492099301159E-2</v>
      </c>
      <c r="G58" s="238">
        <f>BEaH19!U42</f>
        <v>3.4265103697024346E-2</v>
      </c>
      <c r="H58" s="221">
        <f>BEaH20!U42</f>
        <v>2.9865296244016376E-2</v>
      </c>
      <c r="I58" s="221">
        <f>BEaH21!U42</f>
        <v>3.0091942074254977E-2</v>
      </c>
      <c r="J58" s="237">
        <f>BEaH22!U42</f>
        <v>2.6094208161837894E-2</v>
      </c>
      <c r="K58" s="221">
        <f>BEaH23!U43</f>
        <v>0.5788657166805421</v>
      </c>
      <c r="L58" s="201">
        <f>BEaH24!AG56</f>
        <v>2.7648062285554716E-2</v>
      </c>
      <c r="M58" s="203">
        <f>BEaH25!AG56</f>
        <v>2.8824757007298429E-2</v>
      </c>
    </row>
  </sheetData>
  <mergeCells count="6">
    <mergeCell ref="D54:M54"/>
    <mergeCell ref="D4:M4"/>
    <mergeCell ref="D13:M13"/>
    <mergeCell ref="D28:M28"/>
    <mergeCell ref="B1:M1"/>
    <mergeCell ref="B2:M2"/>
  </mergeCells>
  <pageMargins left="0.39370078740157483" right="0.39370078740157483" top="0.19685039370078741" bottom="0.59055118110236227" header="0.31496062992125984" footer="0.51181102362204722"/>
  <pageSetup paperSize="9" scale="7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pageSetUpPr fitToPage="1"/>
  </sheetPr>
  <dimension ref="B1:M58"/>
  <sheetViews>
    <sheetView showGridLines="0" showWhiteSpace="0" topLeftCell="A16" zoomScaleNormal="100" workbookViewId="0">
      <selection activeCell="L61" sqref="L61"/>
    </sheetView>
  </sheetViews>
  <sheetFormatPr baseColWidth="10" defaultColWidth="10.88671875" defaultRowHeight="15" x14ac:dyDescent="0.35"/>
  <cols>
    <col min="1" max="1" width="10.77734375" style="169" customWidth="1"/>
    <col min="2" max="2" width="21.6640625" style="169" customWidth="1"/>
    <col min="3" max="3" width="10.77734375" style="169" customWidth="1"/>
    <col min="4" max="13" width="6.5546875" style="169" customWidth="1"/>
    <col min="14" max="16384" width="10.88671875" style="169"/>
  </cols>
  <sheetData>
    <row r="1" spans="2:13" ht="19.95" customHeight="1" x14ac:dyDescent="0.5">
      <c r="B1" s="565" t="s">
        <v>80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</row>
    <row r="2" spans="2:13" ht="19.95" customHeight="1" x14ac:dyDescent="0.5">
      <c r="B2" s="566" t="s">
        <v>173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</row>
    <row r="3" spans="2:13" ht="15.6" thickBot="1" x14ac:dyDescent="0.4"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7"/>
    </row>
    <row r="4" spans="2:13" ht="45" customHeight="1" thickBot="1" x14ac:dyDescent="0.4">
      <c r="B4" s="170" t="s">
        <v>73</v>
      </c>
      <c r="C4" s="329" t="s">
        <v>107</v>
      </c>
      <c r="D4" s="559" t="s">
        <v>76</v>
      </c>
      <c r="E4" s="557"/>
      <c r="F4" s="557"/>
      <c r="G4" s="557"/>
      <c r="H4" s="557"/>
      <c r="I4" s="557"/>
      <c r="J4" s="557"/>
      <c r="K4" s="557"/>
      <c r="L4" s="560"/>
      <c r="M4" s="558"/>
    </row>
    <row r="5" spans="2:13" ht="25.5" customHeight="1" thickBot="1" x14ac:dyDescent="0.4">
      <c r="B5" s="171" t="s">
        <v>61</v>
      </c>
      <c r="C5" s="172" t="s">
        <v>74</v>
      </c>
      <c r="D5" s="173">
        <v>2016</v>
      </c>
      <c r="E5" s="174">
        <v>2017</v>
      </c>
      <c r="F5" s="175">
        <v>2018</v>
      </c>
      <c r="G5" s="173">
        <v>2019</v>
      </c>
      <c r="H5" s="176">
        <v>2020</v>
      </c>
      <c r="I5" s="173">
        <v>2021</v>
      </c>
      <c r="J5" s="173">
        <v>2022</v>
      </c>
      <c r="K5" s="173">
        <v>2023</v>
      </c>
      <c r="L5" s="173">
        <v>2024</v>
      </c>
      <c r="M5" s="177">
        <v>2025</v>
      </c>
    </row>
    <row r="6" spans="2:13" ht="13.05" customHeight="1" x14ac:dyDescent="0.35">
      <c r="B6" s="178" t="s">
        <v>1</v>
      </c>
      <c r="C6" s="179">
        <f>SUM(D6:M6)/10</f>
        <v>0.45081001555860356</v>
      </c>
      <c r="D6" s="180">
        <v>0.26315789473684198</v>
      </c>
      <c r="E6" s="181">
        <v>0.4784688995215311</v>
      </c>
      <c r="F6" s="180">
        <v>1.2345679012345678</v>
      </c>
      <c r="G6" s="180">
        <v>0.28735632183908044</v>
      </c>
      <c r="H6" s="181">
        <v>0.82191780821917804</v>
      </c>
      <c r="I6" s="181">
        <v>0.28409090909090912</v>
      </c>
      <c r="J6" s="181">
        <v>0.28653295128939826</v>
      </c>
      <c r="K6" s="181">
        <f>BEaH23!AB7</f>
        <v>0.29411764705882354</v>
      </c>
      <c r="L6" s="181">
        <f>BEaH24!AN8</f>
        <v>0.27777777777777779</v>
      </c>
      <c r="M6" s="182">
        <f>BEaH25!AN8</f>
        <v>0.28011204481792717</v>
      </c>
    </row>
    <row r="7" spans="2:13" ht="13.05" customHeight="1" x14ac:dyDescent="0.35">
      <c r="B7" s="183" t="s">
        <v>2</v>
      </c>
      <c r="C7" s="184">
        <f t="shared" ref="C7:C11" si="0">SUM(D7:M7)/10</f>
        <v>0.42729902494895872</v>
      </c>
      <c r="D7" s="185">
        <v>0.17850767583006069</v>
      </c>
      <c r="E7" s="186">
        <v>0.44117647058823528</v>
      </c>
      <c r="F7" s="187">
        <v>0.70643642072213497</v>
      </c>
      <c r="G7" s="187">
        <v>0.29093931837073983</v>
      </c>
      <c r="H7" s="186">
        <v>1.0699588477366255</v>
      </c>
      <c r="I7" s="186">
        <v>0.64829821717990277</v>
      </c>
      <c r="J7" s="188">
        <v>0.36960985626283366</v>
      </c>
      <c r="K7" s="186">
        <f>BEaH23!AB8</f>
        <v>0.12484394506866417</v>
      </c>
      <c r="L7" s="186">
        <f>BEaH24!AN9</f>
        <v>0.21748586341887777</v>
      </c>
      <c r="M7" s="189">
        <f>BEaH25!AN9</f>
        <v>0.22573363431151242</v>
      </c>
    </row>
    <row r="8" spans="2:13" ht="13.05" customHeight="1" x14ac:dyDescent="0.35">
      <c r="B8" s="183" t="s">
        <v>14</v>
      </c>
      <c r="C8" s="184">
        <f t="shared" si="0"/>
        <v>0.1947592028084239</v>
      </c>
      <c r="D8" s="187">
        <v>0</v>
      </c>
      <c r="E8" s="186">
        <v>0.28901734104046245</v>
      </c>
      <c r="F8" s="187">
        <v>0</v>
      </c>
      <c r="G8" s="187">
        <v>0.34602076124567471</v>
      </c>
      <c r="H8" s="186">
        <v>0.98360655737704916</v>
      </c>
      <c r="I8" s="186">
        <v>0.32894736842105265</v>
      </c>
      <c r="J8" s="186">
        <v>0</v>
      </c>
      <c r="K8" s="186">
        <f>BEaH23!AB9</f>
        <v>0</v>
      </c>
      <c r="L8" s="186">
        <f>BEaH24!AN10</f>
        <v>0</v>
      </c>
      <c r="M8" s="189">
        <f>BEaH25!AN10</f>
        <v>0</v>
      </c>
    </row>
    <row r="9" spans="2:13" ht="13.05" customHeight="1" x14ac:dyDescent="0.35">
      <c r="B9" s="183" t="s">
        <v>3</v>
      </c>
      <c r="C9" s="184">
        <f t="shared" si="0"/>
        <v>0.31249304881366713</v>
      </c>
      <c r="D9" s="187">
        <v>0.18115942028985507</v>
      </c>
      <c r="E9" s="186">
        <v>0.75757575757575757</v>
      </c>
      <c r="F9" s="187">
        <v>0.59171597633136097</v>
      </c>
      <c r="G9" s="187">
        <v>0.20876826722338204</v>
      </c>
      <c r="H9" s="186">
        <v>0</v>
      </c>
      <c r="I9" s="186">
        <v>0.2012072434607646</v>
      </c>
      <c r="J9" s="188">
        <v>0</v>
      </c>
      <c r="K9" s="186">
        <f>BEaH23!AB10</f>
        <v>0.70257611241217799</v>
      </c>
      <c r="L9" s="186">
        <f>BEaH24!AN11</f>
        <v>0.48192771084337349</v>
      </c>
      <c r="M9" s="189">
        <f>BEaH25!AN11</f>
        <v>0</v>
      </c>
    </row>
    <row r="10" spans="2:13" ht="30.6" thickBot="1" x14ac:dyDescent="0.4">
      <c r="B10" s="190" t="s">
        <v>174</v>
      </c>
      <c r="C10" s="191">
        <f t="shared" si="0"/>
        <v>0.15905700779686327</v>
      </c>
      <c r="D10" s="192">
        <v>3.0609121518212427E-2</v>
      </c>
      <c r="E10" s="193">
        <v>0.21218551076083661</v>
      </c>
      <c r="F10" s="194">
        <v>0.24691358024691357</v>
      </c>
      <c r="G10" s="194">
        <v>0.14798372179060304</v>
      </c>
      <c r="H10" s="195">
        <v>0.31304347826086959</v>
      </c>
      <c r="I10" s="195">
        <v>0.31174229303775547</v>
      </c>
      <c r="J10" s="196">
        <v>3.7425149700598799E-2</v>
      </c>
      <c r="K10" s="195">
        <f>BEaH23!AB11</f>
        <v>0.14378145219266714</v>
      </c>
      <c r="L10" s="195">
        <f>BEaH24!AN12</f>
        <v>0.10818608005769924</v>
      </c>
      <c r="M10" s="197">
        <f>BEaH25!AN12</f>
        <v>3.8699690402476783E-2</v>
      </c>
    </row>
    <row r="11" spans="2:13" ht="13.05" customHeight="1" thickBot="1" x14ac:dyDescent="0.4">
      <c r="B11" s="198" t="s">
        <v>22</v>
      </c>
      <c r="C11" s="199">
        <f t="shared" si="0"/>
        <v>0.2903737048500008</v>
      </c>
      <c r="D11" s="200">
        <v>0.10844516741222719</v>
      </c>
      <c r="E11" s="201">
        <v>0.35562850499247711</v>
      </c>
      <c r="F11" s="200">
        <v>0.49871542995315099</v>
      </c>
      <c r="G11" s="200">
        <v>0.22489959839357429</v>
      </c>
      <c r="H11" s="201">
        <v>0.63438031873742839</v>
      </c>
      <c r="I11" s="201">
        <v>0.43023970497848801</v>
      </c>
      <c r="J11" s="202">
        <v>0.17813765182186234</v>
      </c>
      <c r="K11" s="201">
        <f>BEaH23!AB12</f>
        <v>0.1763103061388043</v>
      </c>
      <c r="L11" s="201">
        <f>BEaH24!AN13</f>
        <v>0.17819536692046006</v>
      </c>
      <c r="M11" s="203">
        <f>BEaH25!AN13</f>
        <v>0.11878499915153572</v>
      </c>
    </row>
    <row r="12" spans="2:13" ht="20.25" customHeight="1" thickBot="1" x14ac:dyDescent="0.4">
      <c r="B12" s="205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7"/>
    </row>
    <row r="13" spans="2:13" ht="45" customHeight="1" thickBot="1" x14ac:dyDescent="0.4">
      <c r="B13" s="210" t="s">
        <v>73</v>
      </c>
      <c r="C13" s="329" t="s">
        <v>108</v>
      </c>
      <c r="D13" s="561" t="s">
        <v>76</v>
      </c>
      <c r="E13" s="561"/>
      <c r="F13" s="561"/>
      <c r="G13" s="561"/>
      <c r="H13" s="561"/>
      <c r="I13" s="561"/>
      <c r="J13" s="561"/>
      <c r="K13" s="561"/>
      <c r="L13" s="561"/>
      <c r="M13" s="562"/>
    </row>
    <row r="14" spans="2:13" ht="25.5" customHeight="1" thickBot="1" x14ac:dyDescent="0.4">
      <c r="B14" s="171" t="s">
        <v>62</v>
      </c>
      <c r="C14" s="172" t="s">
        <v>74</v>
      </c>
      <c r="D14" s="173">
        <v>2016</v>
      </c>
      <c r="E14" s="173">
        <v>2017</v>
      </c>
      <c r="F14" s="173">
        <v>2018</v>
      </c>
      <c r="G14" s="175">
        <v>2019</v>
      </c>
      <c r="H14" s="176">
        <v>2020</v>
      </c>
      <c r="I14" s="173">
        <v>2021</v>
      </c>
      <c r="J14" s="173">
        <v>2022</v>
      </c>
      <c r="K14" s="173">
        <v>2023</v>
      </c>
      <c r="L14" s="173">
        <v>2024</v>
      </c>
      <c r="M14" s="177">
        <v>2025</v>
      </c>
    </row>
    <row r="15" spans="2:13" ht="13.05" customHeight="1" x14ac:dyDescent="0.35">
      <c r="B15" s="211" t="s">
        <v>4</v>
      </c>
      <c r="C15" s="212">
        <f>SUM(D15:M15)/10</f>
        <v>0.18518518518518517</v>
      </c>
      <c r="D15" s="187">
        <v>0</v>
      </c>
      <c r="E15" s="186">
        <v>0</v>
      </c>
      <c r="F15" s="213">
        <v>0</v>
      </c>
      <c r="G15" s="213">
        <v>0</v>
      </c>
      <c r="H15" s="214">
        <v>0</v>
      </c>
      <c r="I15" s="186">
        <v>0</v>
      </c>
      <c r="J15" s="188">
        <v>0</v>
      </c>
      <c r="K15" s="214">
        <f>BEaH23!AB15</f>
        <v>0</v>
      </c>
      <c r="L15" s="215">
        <f>BEaH24!AN17</f>
        <v>0</v>
      </c>
      <c r="M15" s="216">
        <f>BEaH25!AN17</f>
        <v>1.8518518518518519</v>
      </c>
    </row>
    <row r="16" spans="2:13" ht="13.05" customHeight="1" x14ac:dyDescent="0.35">
      <c r="B16" s="217" t="s">
        <v>5</v>
      </c>
      <c r="C16" s="212">
        <f t="shared" ref="C16:C26" si="1">SUM(D16:M16)/10</f>
        <v>0.34252483900070485</v>
      </c>
      <c r="D16" s="187">
        <v>0.11337868480725624</v>
      </c>
      <c r="E16" s="186">
        <v>0.22624434389140272</v>
      </c>
      <c r="F16" s="213">
        <v>0.69582504970178927</v>
      </c>
      <c r="G16" s="213">
        <v>0.48732943469785572</v>
      </c>
      <c r="H16" s="214">
        <v>0.19193857965451055</v>
      </c>
      <c r="I16" s="186">
        <v>0.18832391713747645</v>
      </c>
      <c r="J16" s="188">
        <v>0.56285178236397748</v>
      </c>
      <c r="K16" s="186">
        <f>BEaH23!AB16</f>
        <v>0.51282051282051277</v>
      </c>
      <c r="L16" s="186">
        <f>BEaH24!AN18</f>
        <v>0.26619343389529726</v>
      </c>
      <c r="M16" s="189">
        <f>BEaH25!AN18</f>
        <v>0.18034265103697025</v>
      </c>
    </row>
    <row r="17" spans="2:13" ht="13.05" customHeight="1" x14ac:dyDescent="0.35">
      <c r="B17" s="217" t="s">
        <v>6</v>
      </c>
      <c r="C17" s="212">
        <f t="shared" si="1"/>
        <v>0.26663115137518184</v>
      </c>
      <c r="D17" s="187">
        <v>0.42553191489361702</v>
      </c>
      <c r="E17" s="186">
        <v>0</v>
      </c>
      <c r="F17" s="213">
        <v>1.3100436681222707</v>
      </c>
      <c r="G17" s="213">
        <v>0.47619047619047616</v>
      </c>
      <c r="H17" s="214">
        <v>0</v>
      </c>
      <c r="I17" s="186">
        <v>0.45454545454545453</v>
      </c>
      <c r="J17" s="188">
        <v>0</v>
      </c>
      <c r="K17" s="214">
        <f>BEaH23!AB17</f>
        <v>0</v>
      </c>
      <c r="L17" s="186">
        <f>BEaH24!AN19</f>
        <v>0</v>
      </c>
      <c r="M17" s="189">
        <f>BEaH25!AN19</f>
        <v>0</v>
      </c>
    </row>
    <row r="18" spans="2:13" ht="13.05" customHeight="1" x14ac:dyDescent="0.35">
      <c r="B18" s="217" t="s">
        <v>7</v>
      </c>
      <c r="C18" s="212">
        <f t="shared" si="1"/>
        <v>0.30322078544061304</v>
      </c>
      <c r="D18" s="187">
        <v>0</v>
      </c>
      <c r="E18" s="186">
        <v>0</v>
      </c>
      <c r="F18" s="213">
        <v>0</v>
      </c>
      <c r="G18" s="213">
        <v>0.78125</v>
      </c>
      <c r="H18" s="214">
        <v>0</v>
      </c>
      <c r="I18" s="186">
        <v>0.86206896551724133</v>
      </c>
      <c r="J18" s="186">
        <v>0</v>
      </c>
      <c r="K18" s="214">
        <f>BEaH23!AB18</f>
        <v>0</v>
      </c>
      <c r="L18" s="186">
        <f>BEaH24!AN20</f>
        <v>1.3888888888888888</v>
      </c>
      <c r="M18" s="189">
        <f>BEaH25!AN20</f>
        <v>0</v>
      </c>
    </row>
    <row r="19" spans="2:13" ht="13.05" customHeight="1" x14ac:dyDescent="0.35">
      <c r="B19" s="217" t="s">
        <v>8</v>
      </c>
      <c r="C19" s="212">
        <f t="shared" si="1"/>
        <v>0.75</v>
      </c>
      <c r="D19" s="187">
        <v>3.3333333333333335</v>
      </c>
      <c r="E19" s="186">
        <v>0</v>
      </c>
      <c r="F19" s="213">
        <v>0</v>
      </c>
      <c r="G19" s="213">
        <v>4.166666666666667</v>
      </c>
      <c r="H19" s="186">
        <v>0</v>
      </c>
      <c r="I19" s="186">
        <v>0</v>
      </c>
      <c r="J19" s="186">
        <v>0</v>
      </c>
      <c r="K19" s="186">
        <f>BEaH23!AB19</f>
        <v>0</v>
      </c>
      <c r="L19" s="186">
        <f>BEaH24!AN21</f>
        <v>0</v>
      </c>
      <c r="M19" s="189">
        <f>BEaH25!AN21</f>
        <v>0</v>
      </c>
    </row>
    <row r="20" spans="2:13" ht="13.05" customHeight="1" x14ac:dyDescent="0.35">
      <c r="B20" s="217" t="s">
        <v>9</v>
      </c>
      <c r="C20" s="212">
        <f t="shared" si="1"/>
        <v>0.75471698113207553</v>
      </c>
      <c r="D20" s="187">
        <v>0</v>
      </c>
      <c r="E20" s="186">
        <v>0</v>
      </c>
      <c r="F20" s="213">
        <v>0</v>
      </c>
      <c r="G20" s="213">
        <v>0</v>
      </c>
      <c r="H20" s="186">
        <v>0</v>
      </c>
      <c r="I20" s="186">
        <v>1.8867924528301887</v>
      </c>
      <c r="J20" s="186">
        <v>0</v>
      </c>
      <c r="K20" s="186">
        <f>BEaH23!AB20</f>
        <v>5.6603773584905657</v>
      </c>
      <c r="L20" s="186">
        <f>BEaH24!AN22</f>
        <v>0</v>
      </c>
      <c r="M20" s="189">
        <f>BEaH25!AN22</f>
        <v>0</v>
      </c>
    </row>
    <row r="21" spans="2:13" ht="13.05" customHeight="1" x14ac:dyDescent="0.35">
      <c r="B21" s="217" t="s">
        <v>10</v>
      </c>
      <c r="C21" s="212">
        <f t="shared" si="1"/>
        <v>0.29411764705882354</v>
      </c>
      <c r="D21" s="187">
        <v>0</v>
      </c>
      <c r="E21" s="186">
        <v>0</v>
      </c>
      <c r="F21" s="213">
        <v>0</v>
      </c>
      <c r="G21" s="213">
        <v>0</v>
      </c>
      <c r="H21" s="186">
        <v>2.9411764705882355</v>
      </c>
      <c r="I21" s="186">
        <v>0</v>
      </c>
      <c r="J21" s="186">
        <v>0</v>
      </c>
      <c r="K21" s="186">
        <f>BEaH23!AB21</f>
        <v>0</v>
      </c>
      <c r="L21" s="186">
        <f>BEaH24!AN23</f>
        <v>0</v>
      </c>
      <c r="M21" s="189">
        <f>BEaH25!AN23</f>
        <v>0</v>
      </c>
    </row>
    <row r="22" spans="2:13" ht="13.05" customHeight="1" x14ac:dyDescent="0.35">
      <c r="B22" s="217" t="s">
        <v>11</v>
      </c>
      <c r="C22" s="212">
        <f t="shared" si="1"/>
        <v>0.59527881008821848</v>
      </c>
      <c r="D22" s="187">
        <v>0.54495912806539515</v>
      </c>
      <c r="E22" s="186">
        <v>0.26881720430107525</v>
      </c>
      <c r="F22" s="213">
        <v>0.7142857142857143</v>
      </c>
      <c r="G22" s="213">
        <v>0.24096385542168675</v>
      </c>
      <c r="H22" s="186">
        <v>0.67567567567567566</v>
      </c>
      <c r="I22" s="186">
        <v>1.3245033112582782</v>
      </c>
      <c r="J22" s="186">
        <v>0.4065040650406504</v>
      </c>
      <c r="K22" s="186">
        <f>BEaH23!AB22</f>
        <v>0.41753653444676408</v>
      </c>
      <c r="L22" s="186">
        <f>BEaH24!AN24</f>
        <v>0.2074688796680498</v>
      </c>
      <c r="M22" s="189">
        <f>BEaH25!AN24</f>
        <v>1.1520737327188939</v>
      </c>
    </row>
    <row r="23" spans="2:13" ht="13.05" customHeight="1" x14ac:dyDescent="0.35">
      <c r="B23" s="217" t="s">
        <v>12</v>
      </c>
      <c r="C23" s="212">
        <f t="shared" si="1"/>
        <v>0.24142219705434381</v>
      </c>
      <c r="D23" s="187">
        <v>0.18985157059026581</v>
      </c>
      <c r="E23" s="186">
        <v>0.1782848992690319</v>
      </c>
      <c r="F23" s="213">
        <v>0.2120686331212647</v>
      </c>
      <c r="G23" s="213">
        <v>0.3777544596012592</v>
      </c>
      <c r="H23" s="186">
        <v>0.36062791684344508</v>
      </c>
      <c r="I23" s="186">
        <v>0.1953125</v>
      </c>
      <c r="J23" s="186">
        <v>0.20737327188940091</v>
      </c>
      <c r="K23" s="186">
        <f>BEaH23!AB23</f>
        <v>0.13531799729364005</v>
      </c>
      <c r="L23" s="186">
        <f>BEaH24!AN25</f>
        <v>0.32638714536781321</v>
      </c>
      <c r="M23" s="189">
        <f>BEaH25!AN25</f>
        <v>0.23124357656731759</v>
      </c>
    </row>
    <row r="24" spans="2:13" ht="13.05" customHeight="1" x14ac:dyDescent="0.35">
      <c r="B24" s="410" t="s">
        <v>13</v>
      </c>
      <c r="C24" s="179">
        <f t="shared" si="1"/>
        <v>2.2703153988868272</v>
      </c>
      <c r="D24" s="180">
        <v>8</v>
      </c>
      <c r="E24" s="181">
        <v>3.5714285714285716</v>
      </c>
      <c r="F24" s="411">
        <v>0</v>
      </c>
      <c r="G24" s="411">
        <v>0</v>
      </c>
      <c r="H24" s="181">
        <v>0</v>
      </c>
      <c r="I24" s="181">
        <v>0</v>
      </c>
      <c r="J24" s="181">
        <v>2.0408163265306123</v>
      </c>
      <c r="K24" s="181">
        <f>BEaH23!AB24</f>
        <v>9.0909090909090917</v>
      </c>
      <c r="L24" s="181">
        <f>BEaH24!AN26</f>
        <v>0</v>
      </c>
      <c r="M24" s="182">
        <f>BEaH25!AN26</f>
        <v>0</v>
      </c>
    </row>
    <row r="25" spans="2:13" ht="30.6" thickBot="1" x14ac:dyDescent="0.4">
      <c r="B25" s="218" t="s">
        <v>174</v>
      </c>
      <c r="C25" s="191">
        <f t="shared" si="1"/>
        <v>0.19075790606283849</v>
      </c>
      <c r="D25" s="194">
        <v>0.10395010395010396</v>
      </c>
      <c r="E25" s="195">
        <v>4.2052144659377629E-2</v>
      </c>
      <c r="F25" s="219">
        <v>0.45682960255824578</v>
      </c>
      <c r="G25" s="219">
        <v>0.35971223021582732</v>
      </c>
      <c r="H25" s="195">
        <v>0.59701492537313428</v>
      </c>
      <c r="I25" s="195">
        <v>0.16985138004246284</v>
      </c>
      <c r="J25" s="193">
        <v>0.13291980505095261</v>
      </c>
      <c r="K25" s="195">
        <f>BEaH23!AB25</f>
        <v>4.5248868778280542E-2</v>
      </c>
      <c r="L25" s="195">
        <f>BEaH24!AN27</f>
        <v>0</v>
      </c>
      <c r="M25" s="220">
        <f>BEaH25!AN27</f>
        <v>0</v>
      </c>
    </row>
    <row r="26" spans="2:13" ht="13.05" customHeight="1" thickBot="1" x14ac:dyDescent="0.4">
      <c r="B26" s="198" t="s">
        <v>22</v>
      </c>
      <c r="C26" s="199">
        <f t="shared" si="1"/>
        <v>0.26817479210042794</v>
      </c>
      <c r="D26" s="200">
        <v>0.20774903916069387</v>
      </c>
      <c r="E26" s="221">
        <v>0.15192950470981464</v>
      </c>
      <c r="F26" s="222">
        <v>0.36047497879558948</v>
      </c>
      <c r="G26" s="223">
        <v>0.38867295946696279</v>
      </c>
      <c r="H26" s="221">
        <v>0.40677220756376431</v>
      </c>
      <c r="I26" s="221">
        <v>0.26434629364467455</v>
      </c>
      <c r="J26" s="202">
        <v>0.23702031602708803</v>
      </c>
      <c r="K26" s="224">
        <f>BEaH23!AB26</f>
        <v>0.22657754616517503</v>
      </c>
      <c r="L26" s="224">
        <f>BEaH24!AN28</f>
        <v>0.22211253701875616</v>
      </c>
      <c r="M26" s="203">
        <f>BEaH25!AN28</f>
        <v>0.21609253845176052</v>
      </c>
    </row>
    <row r="27" spans="2:13" ht="20.25" customHeight="1" thickBot="1" x14ac:dyDescent="0.4">
      <c r="B27" s="205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7"/>
    </row>
    <row r="28" spans="2:13" ht="45" customHeight="1" thickBot="1" x14ac:dyDescent="0.4">
      <c r="B28" s="170" t="s">
        <v>73</v>
      </c>
      <c r="C28" s="329" t="s">
        <v>108</v>
      </c>
      <c r="D28" s="556" t="s">
        <v>76</v>
      </c>
      <c r="E28" s="557"/>
      <c r="F28" s="557"/>
      <c r="G28" s="557"/>
      <c r="H28" s="557"/>
      <c r="I28" s="557"/>
      <c r="J28" s="557"/>
      <c r="K28" s="557"/>
      <c r="L28" s="557"/>
      <c r="M28" s="558"/>
    </row>
    <row r="29" spans="2:13" ht="25.5" customHeight="1" thickBot="1" x14ac:dyDescent="0.4">
      <c r="B29" s="171" t="s">
        <v>63</v>
      </c>
      <c r="C29" s="172" t="s">
        <v>74</v>
      </c>
      <c r="D29" s="173">
        <v>2016</v>
      </c>
      <c r="E29" s="173">
        <v>2017</v>
      </c>
      <c r="F29" s="175">
        <v>2018</v>
      </c>
      <c r="G29" s="175">
        <v>2019</v>
      </c>
      <c r="H29" s="176">
        <v>2020</v>
      </c>
      <c r="I29" s="173">
        <v>2021</v>
      </c>
      <c r="J29" s="173">
        <v>2022</v>
      </c>
      <c r="K29" s="173">
        <v>2023</v>
      </c>
      <c r="L29" s="173">
        <v>2024</v>
      </c>
      <c r="M29" s="177">
        <v>2025</v>
      </c>
    </row>
    <row r="30" spans="2:13" ht="13.05" hidden="1" customHeight="1" x14ac:dyDescent="0.35">
      <c r="B30" s="225" t="s">
        <v>133</v>
      </c>
      <c r="C30" s="184">
        <f>SUM(D30:M30)/10</f>
        <v>3.5955393788544565E-2</v>
      </c>
      <c r="D30" s="226" t="s">
        <v>126</v>
      </c>
      <c r="E30" s="226" t="s">
        <v>126</v>
      </c>
      <c r="F30" s="226" t="s">
        <v>126</v>
      </c>
      <c r="G30" s="226" t="s">
        <v>126</v>
      </c>
      <c r="H30" s="226" t="s">
        <v>126</v>
      </c>
      <c r="I30" s="226" t="s">
        <v>126</v>
      </c>
      <c r="J30" s="226" t="s">
        <v>126</v>
      </c>
      <c r="K30" s="226" t="s">
        <v>126</v>
      </c>
      <c r="L30" s="187">
        <f>BEaH24!AN32</f>
        <v>0.1609442060085837</v>
      </c>
      <c r="M30" s="216">
        <f>BEaH25!AN32</f>
        <v>0.19860973187686196</v>
      </c>
    </row>
    <row r="31" spans="2:13" ht="13.05" hidden="1" customHeight="1" x14ac:dyDescent="0.35">
      <c r="B31" s="227" t="s">
        <v>150</v>
      </c>
      <c r="C31" s="184">
        <f t="shared" ref="C31:C35" si="2">SUM(D31:M31)/10</f>
        <v>1.4486946168900833E-2</v>
      </c>
      <c r="D31" s="226" t="s">
        <v>126</v>
      </c>
      <c r="E31" s="226" t="s">
        <v>126</v>
      </c>
      <c r="F31" s="226" t="s">
        <v>126</v>
      </c>
      <c r="G31" s="226" t="s">
        <v>126</v>
      </c>
      <c r="H31" s="226" t="s">
        <v>126</v>
      </c>
      <c r="I31" s="226" t="s">
        <v>126</v>
      </c>
      <c r="J31" s="226" t="s">
        <v>126</v>
      </c>
      <c r="K31" s="226" t="s">
        <v>126</v>
      </c>
      <c r="L31" s="187">
        <f>BEaH24!AN33</f>
        <v>7.3507791825933547E-2</v>
      </c>
      <c r="M31" s="216">
        <f>BEaH25!AN33</f>
        <v>7.1361669863074795E-2</v>
      </c>
    </row>
    <row r="32" spans="2:13" ht="30" hidden="1" x14ac:dyDescent="0.35">
      <c r="B32" s="228" t="s">
        <v>134</v>
      </c>
      <c r="C32" s="184">
        <f t="shared" si="2"/>
        <v>4.1444304537151748E-2</v>
      </c>
      <c r="D32" s="226" t="s">
        <v>126</v>
      </c>
      <c r="E32" s="226" t="s">
        <v>126</v>
      </c>
      <c r="F32" s="226" t="s">
        <v>126</v>
      </c>
      <c r="G32" s="226" t="s">
        <v>126</v>
      </c>
      <c r="H32" s="226" t="s">
        <v>126</v>
      </c>
      <c r="I32" s="226" t="s">
        <v>126</v>
      </c>
      <c r="J32" s="226" t="s">
        <v>126</v>
      </c>
      <c r="K32" s="226" t="s">
        <v>126</v>
      </c>
      <c r="L32" s="187">
        <f>BEaH24!AN34</f>
        <v>9.2692723621195738E-2</v>
      </c>
      <c r="M32" s="216">
        <f>BEaH25!AN34</f>
        <v>0.32175032175032175</v>
      </c>
    </row>
    <row r="33" spans="2:13" ht="13.05" customHeight="1" x14ac:dyDescent="0.35">
      <c r="B33" s="183" t="s">
        <v>15</v>
      </c>
      <c r="C33" s="184">
        <f>SUM(D33:K33)/8</f>
        <v>3.0971236356278506E-2</v>
      </c>
      <c r="D33" s="187">
        <v>2.6246719160104987E-2</v>
      </c>
      <c r="E33" s="186">
        <v>6.70555890833501E-3</v>
      </c>
      <c r="F33" s="213">
        <v>2.0345879959308241E-2</v>
      </c>
      <c r="G33" s="213">
        <v>3.5493717611982681E-2</v>
      </c>
      <c r="H33" s="186">
        <v>4.2235675066873153E-2</v>
      </c>
      <c r="I33" s="186">
        <v>3.5268392466671371E-2</v>
      </c>
      <c r="J33" s="188">
        <v>3.644580508783439E-2</v>
      </c>
      <c r="K33" s="188">
        <f>BEaH23!AB29</f>
        <v>4.5028142589118199E-2</v>
      </c>
      <c r="L33" s="186" t="s">
        <v>126</v>
      </c>
      <c r="M33" s="229" t="s">
        <v>126</v>
      </c>
    </row>
    <row r="34" spans="2:13" ht="13.05" hidden="1" customHeight="1" x14ac:dyDescent="0.35">
      <c r="B34" s="183" t="s">
        <v>135</v>
      </c>
      <c r="C34" s="184">
        <f t="shared" si="2"/>
        <v>6.5832345496620332E-3</v>
      </c>
      <c r="D34" s="226" t="s">
        <v>126</v>
      </c>
      <c r="E34" s="226" t="s">
        <v>126</v>
      </c>
      <c r="F34" s="226" t="s">
        <v>126</v>
      </c>
      <c r="G34" s="226" t="s">
        <v>126</v>
      </c>
      <c r="H34" s="226" t="s">
        <v>126</v>
      </c>
      <c r="I34" s="226" t="s">
        <v>126</v>
      </c>
      <c r="J34" s="226" t="s">
        <v>126</v>
      </c>
      <c r="K34" s="226" t="s">
        <v>126</v>
      </c>
      <c r="L34" s="187">
        <f>BEaH24!AN35</f>
        <v>1.4744913005013271E-2</v>
      </c>
      <c r="M34" s="216">
        <f>BEaH25!AN35</f>
        <v>5.1087432491607063E-2</v>
      </c>
    </row>
    <row r="35" spans="2:13" ht="13.05" hidden="1" customHeight="1" x14ac:dyDescent="0.35">
      <c r="B35" s="183" t="s">
        <v>136</v>
      </c>
      <c r="C35" s="184">
        <f t="shared" si="2"/>
        <v>9.3316558905372535E-2</v>
      </c>
      <c r="D35" s="226" t="s">
        <v>126</v>
      </c>
      <c r="E35" s="226" t="s">
        <v>126</v>
      </c>
      <c r="F35" s="226" t="s">
        <v>126</v>
      </c>
      <c r="G35" s="226" t="s">
        <v>126</v>
      </c>
      <c r="H35" s="226" t="s">
        <v>126</v>
      </c>
      <c r="I35" s="226" t="s">
        <v>126</v>
      </c>
      <c r="J35" s="226" t="s">
        <v>126</v>
      </c>
      <c r="K35" s="226" t="s">
        <v>126</v>
      </c>
      <c r="L35" s="187">
        <f>BEaH24!AN36</f>
        <v>0.37267080745341613</v>
      </c>
      <c r="M35" s="216">
        <f>BEaH25!AN36</f>
        <v>0.56049478160030919</v>
      </c>
    </row>
    <row r="36" spans="2:13" ht="13.05" customHeight="1" x14ac:dyDescent="0.35">
      <c r="B36" s="183" t="s">
        <v>34</v>
      </c>
      <c r="C36" s="184">
        <f>SUM(D36:M36)/10</f>
        <v>5.459711786982728E-2</v>
      </c>
      <c r="D36" s="187">
        <v>6.0716454159077109E-2</v>
      </c>
      <c r="E36" s="186">
        <v>2.1043771043771045E-2</v>
      </c>
      <c r="F36" s="213">
        <v>0.12881064834693001</v>
      </c>
      <c r="G36" s="213">
        <v>0</v>
      </c>
      <c r="H36" s="186">
        <v>6.7582788916422623E-2</v>
      </c>
      <c r="I36" s="186">
        <v>0</v>
      </c>
      <c r="J36" s="188">
        <v>4.6707146193367584E-2</v>
      </c>
      <c r="K36" s="188">
        <f>BEaH23!AB31</f>
        <v>4.7619047619047616E-2</v>
      </c>
      <c r="L36" s="186">
        <f>BEaH24!AN37</f>
        <v>7.1994240460763137E-2</v>
      </c>
      <c r="M36" s="216">
        <f>BEaH25!AN37</f>
        <v>0.10149708195889368</v>
      </c>
    </row>
    <row r="37" spans="2:13" ht="13.05" hidden="1" customHeight="1" x14ac:dyDescent="0.35">
      <c r="B37" s="183" t="s">
        <v>137</v>
      </c>
      <c r="C37" s="184">
        <f t="shared" ref="C37:C39" si="3">SUM(D37:M37)/10</f>
        <v>2.9738502364956249E-2</v>
      </c>
      <c r="D37" s="226" t="s">
        <v>126</v>
      </c>
      <c r="E37" s="226" t="s">
        <v>126</v>
      </c>
      <c r="F37" s="226" t="s">
        <v>126</v>
      </c>
      <c r="G37" s="226" t="s">
        <v>126</v>
      </c>
      <c r="H37" s="226" t="s">
        <v>126</v>
      </c>
      <c r="I37" s="226" t="s">
        <v>126</v>
      </c>
      <c r="J37" s="226" t="s">
        <v>126</v>
      </c>
      <c r="K37" s="226" t="s">
        <v>126</v>
      </c>
      <c r="L37" s="187">
        <f>BEaH24!AN38</f>
        <v>0.1891891891891892</v>
      </c>
      <c r="M37" s="216">
        <f>BEaH25!AN38</f>
        <v>0.10819583446037327</v>
      </c>
    </row>
    <row r="38" spans="2:13" ht="13.05" customHeight="1" x14ac:dyDescent="0.35">
      <c r="B38" s="183" t="s">
        <v>138</v>
      </c>
      <c r="C38" s="184">
        <f t="shared" si="3"/>
        <v>0.12388240737157954</v>
      </c>
      <c r="D38" s="187">
        <v>0.1070298089404049</v>
      </c>
      <c r="E38" s="186">
        <v>0.11551345731777753</v>
      </c>
      <c r="F38" s="213">
        <v>9.8877039338936365E-2</v>
      </c>
      <c r="G38" s="213">
        <v>0.1637650852838175</v>
      </c>
      <c r="H38" s="186">
        <v>0.13246007800426815</v>
      </c>
      <c r="I38" s="186">
        <v>0.16691163648140306</v>
      </c>
      <c r="J38" s="186">
        <v>0.12960793599361931</v>
      </c>
      <c r="K38" s="188">
        <f>BEaH23!AB34</f>
        <v>6.9048852062834454E-2</v>
      </c>
      <c r="L38" s="186">
        <f>BEaH24!AN39</f>
        <v>9.4536354789378566E-2</v>
      </c>
      <c r="M38" s="216">
        <f>BEaH25!AN39</f>
        <v>0.16107382550335569</v>
      </c>
    </row>
    <row r="39" spans="2:13" ht="13.05" customHeight="1" x14ac:dyDescent="0.35">
      <c r="B39" s="183" t="s">
        <v>16</v>
      </c>
      <c r="C39" s="184">
        <f t="shared" si="3"/>
        <v>0.10786106397991831</v>
      </c>
      <c r="D39" s="187">
        <v>6.1776061776061778E-2</v>
      </c>
      <c r="E39" s="186">
        <v>6.2853551225644247E-2</v>
      </c>
      <c r="F39" s="213">
        <v>0.1272264631043257</v>
      </c>
      <c r="G39" s="213">
        <v>8.6014106313435409E-2</v>
      </c>
      <c r="H39" s="186">
        <v>0.11900714042842571</v>
      </c>
      <c r="I39" s="186">
        <v>0.13891300573016149</v>
      </c>
      <c r="J39" s="188">
        <v>0.10634526763559021</v>
      </c>
      <c r="K39" s="188">
        <f>BEaH23!AB30</f>
        <v>0.16065690824705461</v>
      </c>
      <c r="L39" s="186">
        <f>BEaH24!AN40</f>
        <v>0.15965939329430548</v>
      </c>
      <c r="M39" s="216">
        <f>BEaH25!AN40</f>
        <v>5.6158742044178207E-2</v>
      </c>
    </row>
    <row r="40" spans="2:13" ht="13.05" customHeight="1" x14ac:dyDescent="0.35">
      <c r="B40" s="183" t="s">
        <v>17</v>
      </c>
      <c r="C40" s="184">
        <f>SUM(D40:K40)/8</f>
        <v>2.5482512179989918E-2</v>
      </c>
      <c r="D40" s="187">
        <v>3.2350086757050846E-2</v>
      </c>
      <c r="E40" s="186">
        <v>2.1564338744955485E-2</v>
      </c>
      <c r="F40" s="213">
        <v>1.8428650408501751E-2</v>
      </c>
      <c r="G40" s="213">
        <v>2.906413485758574E-2</v>
      </c>
      <c r="H40" s="186">
        <v>2.8835987312165582E-2</v>
      </c>
      <c r="I40" s="186">
        <v>3.1650577623041617E-2</v>
      </c>
      <c r="J40" s="186">
        <v>2.6472534745201854E-2</v>
      </c>
      <c r="K40" s="188">
        <f>BEaH23!AB32</f>
        <v>1.5493786991416443E-2</v>
      </c>
      <c r="L40" s="186" t="s">
        <v>126</v>
      </c>
      <c r="M40" s="229" t="s">
        <v>126</v>
      </c>
    </row>
    <row r="41" spans="2:13" ht="13.05" hidden="1" customHeight="1" x14ac:dyDescent="0.35">
      <c r="B41" s="183" t="s">
        <v>139</v>
      </c>
      <c r="C41" s="184">
        <f t="shared" ref="C41:C50" si="4">SUM(D41:M41)/10</f>
        <v>1.4549930214931981E-2</v>
      </c>
      <c r="D41" s="226" t="s">
        <v>126</v>
      </c>
      <c r="E41" s="226" t="s">
        <v>126</v>
      </c>
      <c r="F41" s="226" t="s">
        <v>126</v>
      </c>
      <c r="G41" s="226" t="s">
        <v>126</v>
      </c>
      <c r="H41" s="226" t="s">
        <v>126</v>
      </c>
      <c r="I41" s="226" t="s">
        <v>126</v>
      </c>
      <c r="J41" s="226" t="s">
        <v>126</v>
      </c>
      <c r="K41" s="226" t="s">
        <v>126</v>
      </c>
      <c r="L41" s="187">
        <f>BEaH24!AN42</f>
        <v>2.3815194093831864E-2</v>
      </c>
      <c r="M41" s="216">
        <f>BEaH25!AN42</f>
        <v>0.12168410805548795</v>
      </c>
    </row>
    <row r="42" spans="2:13" ht="13.05" hidden="1" customHeight="1" x14ac:dyDescent="0.35">
      <c r="B42" s="183" t="s">
        <v>140</v>
      </c>
      <c r="C42" s="184">
        <f t="shared" si="4"/>
        <v>0.19526463961755172</v>
      </c>
      <c r="D42" s="226" t="s">
        <v>126</v>
      </c>
      <c r="E42" s="226" t="s">
        <v>126</v>
      </c>
      <c r="F42" s="226" t="s">
        <v>126</v>
      </c>
      <c r="G42" s="226" t="s">
        <v>126</v>
      </c>
      <c r="H42" s="226" t="s">
        <v>126</v>
      </c>
      <c r="I42" s="226" t="s">
        <v>126</v>
      </c>
      <c r="J42" s="226" t="s">
        <v>126</v>
      </c>
      <c r="K42" s="226" t="s">
        <v>126</v>
      </c>
      <c r="L42" s="187">
        <f>BEaH24!AN43</f>
        <v>0.78168620882188722</v>
      </c>
      <c r="M42" s="216">
        <f>BEaH25!AN43</f>
        <v>1.1709601873536299</v>
      </c>
    </row>
    <row r="43" spans="2:13" ht="13.05" customHeight="1" x14ac:dyDescent="0.35">
      <c r="B43" s="183" t="s">
        <v>18</v>
      </c>
      <c r="C43" s="184">
        <f>SUM(D43:K43)/8</f>
        <v>5.3525767952749589E-2</v>
      </c>
      <c r="D43" s="187">
        <v>6.4356966641638952E-2</v>
      </c>
      <c r="E43" s="186">
        <v>0.10873110796999022</v>
      </c>
      <c r="F43" s="213">
        <v>5.6268287193337832E-2</v>
      </c>
      <c r="G43" s="213">
        <v>3.8789759503491075E-2</v>
      </c>
      <c r="H43" s="186">
        <v>2.5536261491317672E-2</v>
      </c>
      <c r="I43" s="186">
        <v>9.5340245501132168E-2</v>
      </c>
      <c r="J43" s="186">
        <v>1.3192612137203167E-2</v>
      </c>
      <c r="K43" s="188">
        <f>BEaH23!AB33</f>
        <v>2.5990903183885639E-2</v>
      </c>
      <c r="L43" s="186" t="s">
        <v>126</v>
      </c>
      <c r="M43" s="229" t="s">
        <v>126</v>
      </c>
    </row>
    <row r="44" spans="2:13" ht="30" x14ac:dyDescent="0.35">
      <c r="B44" s="475" t="s">
        <v>172</v>
      </c>
      <c r="C44" s="179">
        <f t="shared" ref="C44" si="5">SUM(D44:M44)/10</f>
        <v>0.15442973537663277</v>
      </c>
      <c r="D44" s="180">
        <v>0.21141649048625794</v>
      </c>
      <c r="E44" s="181">
        <v>0.11876484560570071</v>
      </c>
      <c r="F44" s="411">
        <v>0.10460251046025104</v>
      </c>
      <c r="G44" s="411">
        <v>0.45180722891566266</v>
      </c>
      <c r="H44" s="181">
        <v>7.6394194041252861E-2</v>
      </c>
      <c r="I44" s="181">
        <v>5.3276505061267979E-2</v>
      </c>
      <c r="J44" s="181">
        <v>0.14792899408284024</v>
      </c>
      <c r="K44" s="476">
        <f>BEaH23!AB41</f>
        <v>0.12202562538133008</v>
      </c>
      <c r="L44" s="181">
        <f>BEaH24!AN46</f>
        <v>0.1653165812530997</v>
      </c>
      <c r="M44" s="477">
        <f>BEaH25!AN46</f>
        <v>9.2764378478664186E-2</v>
      </c>
    </row>
    <row r="45" spans="2:13" ht="13.05" hidden="1" customHeight="1" x14ac:dyDescent="0.35">
      <c r="B45" s="183" t="s">
        <v>141</v>
      </c>
      <c r="C45" s="184">
        <f t="shared" si="4"/>
        <v>1.4104072930432907E-2</v>
      </c>
      <c r="D45" s="226" t="s">
        <v>126</v>
      </c>
      <c r="E45" s="226" t="s">
        <v>126</v>
      </c>
      <c r="F45" s="226" t="s">
        <v>126</v>
      </c>
      <c r="G45" s="226" t="s">
        <v>126</v>
      </c>
      <c r="H45" s="226" t="s">
        <v>126</v>
      </c>
      <c r="I45" s="226" t="s">
        <v>126</v>
      </c>
      <c r="J45" s="226" t="s">
        <v>126</v>
      </c>
      <c r="K45" s="226" t="s">
        <v>126</v>
      </c>
      <c r="L45" s="187">
        <f>BEaH24!AN44</f>
        <v>5.453553899291038E-2</v>
      </c>
      <c r="M45" s="216">
        <f>BEaH25!AN44</f>
        <v>8.6505190311418678E-2</v>
      </c>
    </row>
    <row r="46" spans="2:13" ht="13.05" hidden="1" customHeight="1" x14ac:dyDescent="0.35">
      <c r="B46" s="183" t="s">
        <v>142</v>
      </c>
      <c r="C46" s="184">
        <f t="shared" si="4"/>
        <v>0</v>
      </c>
      <c r="D46" s="226" t="s">
        <v>126</v>
      </c>
      <c r="E46" s="226" t="s">
        <v>126</v>
      </c>
      <c r="F46" s="226" t="s">
        <v>126</v>
      </c>
      <c r="G46" s="226" t="s">
        <v>126</v>
      </c>
      <c r="H46" s="226" t="s">
        <v>126</v>
      </c>
      <c r="I46" s="226" t="s">
        <v>126</v>
      </c>
      <c r="J46" s="226" t="s">
        <v>126</v>
      </c>
      <c r="K46" s="226" t="s">
        <v>126</v>
      </c>
      <c r="L46" s="187">
        <f>BEaH24!AN45</f>
        <v>0</v>
      </c>
      <c r="M46" s="216">
        <f>BEaH25!AN45</f>
        <v>0</v>
      </c>
    </row>
    <row r="47" spans="2:13" ht="13.05" hidden="1" customHeight="1" x14ac:dyDescent="0.35">
      <c r="B47" s="183" t="s">
        <v>20</v>
      </c>
      <c r="C47" s="184">
        <f>SUM(D47:K47)/8</f>
        <v>9.3123870597258337E-2</v>
      </c>
      <c r="D47" s="187">
        <v>5.8856419763985757E-2</v>
      </c>
      <c r="E47" s="186">
        <v>6.3013777103084812E-2</v>
      </c>
      <c r="F47" s="213">
        <v>8.2435376553023618E-2</v>
      </c>
      <c r="G47" s="213">
        <v>9.8240874343781662E-2</v>
      </c>
      <c r="H47" s="186">
        <v>5.3580996606536882E-2</v>
      </c>
      <c r="I47" s="186">
        <v>0.10904482626506734</v>
      </c>
      <c r="J47" s="186">
        <v>0.11984880612150825</v>
      </c>
      <c r="K47" s="188">
        <f>BEaH23!AB35</f>
        <v>0.15996988802107839</v>
      </c>
      <c r="L47" s="186" t="s">
        <v>126</v>
      </c>
      <c r="M47" s="229" t="s">
        <v>126</v>
      </c>
    </row>
    <row r="48" spans="2:13" ht="13.05" hidden="1" customHeight="1" x14ac:dyDescent="0.35">
      <c r="B48" s="183" t="s">
        <v>143</v>
      </c>
      <c r="C48" s="184">
        <f t="shared" si="4"/>
        <v>2.5808095973176386E-2</v>
      </c>
      <c r="D48" s="226" t="s">
        <v>126</v>
      </c>
      <c r="E48" s="226" t="s">
        <v>126</v>
      </c>
      <c r="F48" s="226" t="s">
        <v>126</v>
      </c>
      <c r="G48" s="226" t="s">
        <v>126</v>
      </c>
      <c r="H48" s="226" t="s">
        <v>126</v>
      </c>
      <c r="I48" s="226" t="s">
        <v>126</v>
      </c>
      <c r="J48" s="226" t="s">
        <v>126</v>
      </c>
      <c r="K48" s="226" t="s">
        <v>126</v>
      </c>
      <c r="L48" s="187">
        <f>BEaH24!AN46</f>
        <v>0.1653165812530997</v>
      </c>
      <c r="M48" s="216">
        <f>BEaH25!AN46</f>
        <v>9.2764378478664186E-2</v>
      </c>
    </row>
    <row r="49" spans="2:13" ht="30" hidden="1" x14ac:dyDescent="0.35">
      <c r="B49" s="230" t="s">
        <v>144</v>
      </c>
      <c r="C49" s="184">
        <f t="shared" si="4"/>
        <v>0</v>
      </c>
      <c r="D49" s="226" t="s">
        <v>126</v>
      </c>
      <c r="E49" s="226" t="s">
        <v>126</v>
      </c>
      <c r="F49" s="226" t="s">
        <v>126</v>
      </c>
      <c r="G49" s="226" t="s">
        <v>126</v>
      </c>
      <c r="H49" s="226" t="s">
        <v>126</v>
      </c>
      <c r="I49" s="226" t="s">
        <v>126</v>
      </c>
      <c r="J49" s="226" t="s">
        <v>126</v>
      </c>
      <c r="K49" s="226" t="s">
        <v>126</v>
      </c>
      <c r="L49" s="187">
        <f>BEaH24!AN47</f>
        <v>0</v>
      </c>
      <c r="M49" s="216">
        <f>BEaH25!AN47</f>
        <v>0</v>
      </c>
    </row>
    <row r="50" spans="2:13" ht="13.05" hidden="1" customHeight="1" x14ac:dyDescent="0.35">
      <c r="B50" s="183" t="s">
        <v>145</v>
      </c>
      <c r="C50" s="184">
        <f t="shared" si="4"/>
        <v>1.1469825401654168E-2</v>
      </c>
      <c r="D50" s="226" t="s">
        <v>126</v>
      </c>
      <c r="E50" s="226" t="s">
        <v>126</v>
      </c>
      <c r="F50" s="226" t="s">
        <v>126</v>
      </c>
      <c r="G50" s="226" t="s">
        <v>126</v>
      </c>
      <c r="H50" s="226" t="s">
        <v>126</v>
      </c>
      <c r="I50" s="226" t="s">
        <v>126</v>
      </c>
      <c r="J50" s="226" t="s">
        <v>126</v>
      </c>
      <c r="K50" s="226" t="s">
        <v>126</v>
      </c>
      <c r="L50" s="187">
        <f>BEaH24!AN48</f>
        <v>9.5389507154213043E-2</v>
      </c>
      <c r="M50" s="216">
        <f>BEaH25!AN48</f>
        <v>1.9308746862328634E-2</v>
      </c>
    </row>
    <row r="51" spans="2:13" ht="30.6" thickBot="1" x14ac:dyDescent="0.4">
      <c r="B51" s="231" t="s">
        <v>146</v>
      </c>
      <c r="C51" s="191">
        <f>SUM(D51:M51)/10</f>
        <v>9.4171863589361082E-2</v>
      </c>
      <c r="D51" s="194">
        <v>7.8431171520770157E-2</v>
      </c>
      <c r="E51" s="232">
        <v>9.7201348855641037E-2</v>
      </c>
      <c r="F51" s="219">
        <v>0.10352874688804767</v>
      </c>
      <c r="G51" s="219">
        <v>0.11252547689078195</v>
      </c>
      <c r="H51" s="232">
        <v>0.11367738124815421</v>
      </c>
      <c r="I51" s="232">
        <v>0.11060144151269743</v>
      </c>
      <c r="J51" s="233">
        <v>9.8170988825637781E-2</v>
      </c>
      <c r="K51" s="196">
        <f>BEaH23!AB37</f>
        <v>7.5170517824782415E-2</v>
      </c>
      <c r="L51" s="195">
        <f>BEaH24!AN49</f>
        <v>8.4011691798281565E-2</v>
      </c>
      <c r="M51" s="216">
        <f>BEaH25!AN49</f>
        <v>6.8399870528816492E-2</v>
      </c>
    </row>
    <row r="52" spans="2:13" ht="13.05" customHeight="1" thickBot="1" x14ac:dyDescent="0.4">
      <c r="B52" s="234" t="s">
        <v>22</v>
      </c>
      <c r="C52" s="235">
        <f>SUM(D52:M52)/10</f>
        <v>9.180561693261538E-2</v>
      </c>
      <c r="D52" s="236">
        <v>7.465181058495822E-2</v>
      </c>
      <c r="E52" s="221">
        <v>8.8693252742920961E-2</v>
      </c>
      <c r="F52" s="237">
        <v>9.4406249549588497E-2</v>
      </c>
      <c r="G52" s="238">
        <v>0.10685738479839146</v>
      </c>
      <c r="H52" s="221">
        <v>0.10337771211869529</v>
      </c>
      <c r="I52" s="221">
        <v>0.10741746757907675</v>
      </c>
      <c r="J52" s="237">
        <v>9.5067182503571379E-2</v>
      </c>
      <c r="K52" s="221">
        <f>BEaH23!AB38</f>
        <v>7.5262055545377571E-2</v>
      </c>
      <c r="L52" s="201">
        <f>BEaH24!AN50</f>
        <v>8.8632838466651889E-2</v>
      </c>
      <c r="M52" s="203">
        <f>BEaH25!AN50</f>
        <v>8.3690215436921775E-2</v>
      </c>
    </row>
    <row r="53" spans="2:13" ht="20.25" customHeight="1" thickBot="1" x14ac:dyDescent="0.4"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7"/>
    </row>
    <row r="54" spans="2:13" ht="45" customHeight="1" thickBot="1" x14ac:dyDescent="0.4">
      <c r="B54" s="170" t="s">
        <v>73</v>
      </c>
      <c r="C54" s="329" t="s">
        <v>109</v>
      </c>
      <c r="D54" s="556" t="s">
        <v>76</v>
      </c>
      <c r="E54" s="557"/>
      <c r="F54" s="557"/>
      <c r="G54" s="557"/>
      <c r="H54" s="557"/>
      <c r="I54" s="557"/>
      <c r="J54" s="557"/>
      <c r="K54" s="557"/>
      <c r="L54" s="557"/>
      <c r="M54" s="558"/>
    </row>
    <row r="55" spans="2:13" ht="25.5" customHeight="1" thickBot="1" x14ac:dyDescent="0.4">
      <c r="B55" s="171" t="s">
        <v>180</v>
      </c>
      <c r="C55" s="172" t="s">
        <v>74</v>
      </c>
      <c r="D55" s="173">
        <v>2016</v>
      </c>
      <c r="E55" s="173">
        <v>2017</v>
      </c>
      <c r="F55" s="175">
        <v>2018</v>
      </c>
      <c r="G55" s="175">
        <v>2019</v>
      </c>
      <c r="H55" s="176">
        <v>2020</v>
      </c>
      <c r="I55" s="173">
        <v>2021</v>
      </c>
      <c r="J55" s="173">
        <v>2022</v>
      </c>
      <c r="K55" s="173">
        <v>2023</v>
      </c>
      <c r="L55" s="173">
        <v>2024</v>
      </c>
      <c r="M55" s="177">
        <v>2025</v>
      </c>
    </row>
    <row r="56" spans="2:13" x14ac:dyDescent="0.35">
      <c r="B56" s="225" t="s">
        <v>64</v>
      </c>
      <c r="C56" s="184">
        <f>SUM(D56:M56)/10</f>
        <v>9.0467394159085807E-2</v>
      </c>
      <c r="D56" s="187">
        <f>BEaH16!AB40</f>
        <v>0.13793103448275862</v>
      </c>
      <c r="E56" s="187">
        <f>BEaH17!AB40</f>
        <v>0.12755102040816327</v>
      </c>
      <c r="F56" s="187">
        <f>BEaH18!AB40</f>
        <v>0.22421524663677131</v>
      </c>
      <c r="G56" s="187">
        <f>BEaH19!AB40</f>
        <v>0</v>
      </c>
      <c r="H56" s="187">
        <f>BEaH20!AB40</f>
        <v>0</v>
      </c>
      <c r="I56" s="187">
        <f>BEaH21!AB40</f>
        <v>4.208754208754209E-2</v>
      </c>
      <c r="J56" s="187">
        <f>BEaH22!AB40</f>
        <v>0.19292604501607716</v>
      </c>
      <c r="K56" s="187">
        <f>BEaH23!AB41</f>
        <v>0.12202562538133008</v>
      </c>
      <c r="L56" s="187">
        <f>BEaH24!AN54</f>
        <v>5.7937427578215531E-2</v>
      </c>
      <c r="M56" s="216">
        <f>BEaH25!AN54</f>
        <v>0</v>
      </c>
    </row>
    <row r="57" spans="2:13" ht="30.6" thickBot="1" x14ac:dyDescent="0.4">
      <c r="B57" s="231" t="s">
        <v>27</v>
      </c>
      <c r="C57" s="191">
        <f>SUM(D57:M57)/10</f>
        <v>1.7870061833516204E-2</v>
      </c>
      <c r="D57" s="194">
        <f>BEaH16!AB41</f>
        <v>1.3825815989024428E-2</v>
      </c>
      <c r="E57" s="232">
        <f>BEaH17!AB41</f>
        <v>2.4418123201817559E-2</v>
      </c>
      <c r="F57" s="219">
        <f>BEaH18!AB41</f>
        <v>2.0188748778260244E-2</v>
      </c>
      <c r="G57" s="219">
        <f>BEaH19!AB41</f>
        <v>1.89897455374098E-2</v>
      </c>
      <c r="H57" s="232">
        <f>BEaH20!AB41</f>
        <v>1.8703877937359014E-2</v>
      </c>
      <c r="I57" s="232">
        <f>BEaH21!AB41</f>
        <v>2.7018575270498467E-2</v>
      </c>
      <c r="J57" s="233">
        <f>BEaH22!AB41</f>
        <v>1.5668265009792667E-2</v>
      </c>
      <c r="K57" s="196">
        <f>BEaH23!AB42</f>
        <v>1.5014221804542637E-2</v>
      </c>
      <c r="L57" s="195">
        <f>BEaH24!AN55</f>
        <v>8.6119962329461643E-3</v>
      </c>
      <c r="M57" s="216">
        <f>BEaH25!AN55</f>
        <v>1.6261248573511008E-2</v>
      </c>
    </row>
    <row r="58" spans="2:13" ht="15.6" thickBot="1" x14ac:dyDescent="0.4">
      <c r="B58" s="234" t="s">
        <v>22</v>
      </c>
      <c r="C58" s="235">
        <f>SUM(D58:M58)/10</f>
        <v>3.6051697986924064E-2</v>
      </c>
      <c r="D58" s="236">
        <f>BEaH16!AB42</f>
        <v>1.4143971485753484E-2</v>
      </c>
      <c r="E58" s="221">
        <f>BEaH17!AB42</f>
        <v>2.4703470131740079E-2</v>
      </c>
      <c r="F58" s="237">
        <f>BEaH18!AB42</f>
        <v>2.0770290176930918E-2</v>
      </c>
      <c r="G58" s="238">
        <f>BEaH19!AB42</f>
        <v>1.8935978358881875E-2</v>
      </c>
      <c r="H58" s="221">
        <f>BEaH20!AB42</f>
        <v>1.8595373133066799E-2</v>
      </c>
      <c r="I58" s="221">
        <f>BEaH21!AB42</f>
        <v>2.7107617240444564E-2</v>
      </c>
      <c r="J58" s="237">
        <f>BEaH22!AB42</f>
        <v>1.6409759771877436E-2</v>
      </c>
      <c r="K58" s="221">
        <f>BEaH23!AB43</f>
        <v>0.13703984718587273</v>
      </c>
      <c r="L58" s="201">
        <f>BEaH24!AN56</f>
        <v>6.654942381116169E-2</v>
      </c>
      <c r="M58" s="203">
        <f>BEaH25!AN56</f>
        <v>1.6261248573511008E-2</v>
      </c>
    </row>
  </sheetData>
  <mergeCells count="6">
    <mergeCell ref="D54:M54"/>
    <mergeCell ref="D4:M4"/>
    <mergeCell ref="D13:M13"/>
    <mergeCell ref="D28:M28"/>
    <mergeCell ref="B1:M1"/>
    <mergeCell ref="B2:M2"/>
  </mergeCells>
  <pageMargins left="0.78740157480314965" right="0.78740157480314965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7AB8-10D5-4628-9230-523486B663A7}">
  <dimension ref="A1:BZ13"/>
  <sheetViews>
    <sheetView showGridLines="0" workbookViewId="0">
      <selection activeCell="B1" sqref="B1:B1048576"/>
    </sheetView>
  </sheetViews>
  <sheetFormatPr baseColWidth="10" defaultColWidth="11.5546875" defaultRowHeight="15.6" x14ac:dyDescent="0.35"/>
  <cols>
    <col min="1" max="1" width="22.33203125" style="426" bestFit="1" customWidth="1"/>
    <col min="2" max="2" width="14.6640625" style="426" hidden="1" customWidth="1"/>
    <col min="3" max="16384" width="11.5546875" style="426"/>
  </cols>
  <sheetData>
    <row r="1" spans="1:78" ht="16.2" thickBot="1" x14ac:dyDescent="0.4">
      <c r="A1" s="424"/>
      <c r="B1" s="425"/>
      <c r="C1" s="567" t="s">
        <v>160</v>
      </c>
      <c r="D1" s="567"/>
      <c r="E1" s="567"/>
      <c r="F1" s="567"/>
      <c r="G1" s="567"/>
      <c r="H1" s="567"/>
      <c r="I1" s="567"/>
      <c r="J1" s="567"/>
      <c r="K1" s="567"/>
      <c r="L1" s="568"/>
    </row>
    <row r="2" spans="1:78" ht="31.8" thickBot="1" x14ac:dyDescent="0.4">
      <c r="A2" s="427"/>
      <c r="B2" s="428" t="s">
        <v>109</v>
      </c>
      <c r="C2" s="429">
        <v>2024</v>
      </c>
      <c r="D2" s="429">
        <v>2025</v>
      </c>
      <c r="E2" s="429"/>
      <c r="F2" s="430"/>
      <c r="G2" s="429"/>
      <c r="H2" s="429"/>
      <c r="I2" s="429"/>
      <c r="J2" s="429"/>
      <c r="K2" s="429"/>
      <c r="L2" s="431"/>
    </row>
    <row r="3" spans="1:78" ht="31.8" thickBot="1" x14ac:dyDescent="0.4">
      <c r="A3" s="432" t="s">
        <v>163</v>
      </c>
      <c r="B3" s="433">
        <f>AVERAGE(C3:L3)</f>
        <v>0.1496447432091863</v>
      </c>
      <c r="C3" s="434">
        <f>BEaH24!R14</f>
        <v>0.12959663048760731</v>
      </c>
      <c r="D3" s="434">
        <f>BEaH25!R14</f>
        <v>0.16969285593076533</v>
      </c>
      <c r="E3" s="434"/>
      <c r="F3" s="434"/>
      <c r="G3" s="434"/>
      <c r="H3" s="434"/>
      <c r="I3" s="434"/>
      <c r="J3" s="434"/>
      <c r="K3" s="434"/>
      <c r="L3" s="435"/>
    </row>
    <row r="4" spans="1:78" ht="47.4" thickBot="1" x14ac:dyDescent="0.4">
      <c r="A4" s="432" t="s">
        <v>164</v>
      </c>
      <c r="B4" s="433">
        <f>AVERAGE(C4:L4)</f>
        <v>0.16900071537283651</v>
      </c>
      <c r="C4" s="434">
        <f>BEaH24!R29</f>
        <v>0.17275419545903259</v>
      </c>
      <c r="D4" s="434">
        <f>BEaH25!R29</f>
        <v>0.1652472352866404</v>
      </c>
      <c r="E4" s="434"/>
      <c r="F4" s="434"/>
      <c r="G4" s="434"/>
      <c r="H4" s="434"/>
      <c r="I4" s="434"/>
      <c r="J4" s="434"/>
      <c r="K4" s="434"/>
      <c r="L4" s="435"/>
      <c r="BZ4" s="426" t="s">
        <v>176</v>
      </c>
    </row>
    <row r="5" spans="1:78" ht="31.8" thickBot="1" x14ac:dyDescent="0.4">
      <c r="A5" s="432" t="s">
        <v>165</v>
      </c>
      <c r="B5" s="433">
        <f>AVERAGE(C5:L5)</f>
        <v>5.4496577830828563E-2</v>
      </c>
      <c r="C5" s="434">
        <f>BEaH24!R51</f>
        <v>6.0446292410161494E-2</v>
      </c>
      <c r="D5" s="434">
        <f>BEaH25!R51</f>
        <v>4.8546863251495632E-2</v>
      </c>
      <c r="E5" s="434"/>
      <c r="F5" s="434"/>
      <c r="G5" s="434"/>
      <c r="H5" s="434"/>
      <c r="I5" s="434"/>
      <c r="J5" s="434"/>
      <c r="K5" s="434"/>
      <c r="L5" s="435"/>
    </row>
    <row r="6" spans="1:78" ht="16.2" thickBot="1" x14ac:dyDescent="0.4">
      <c r="A6" s="432" t="s">
        <v>161</v>
      </c>
      <c r="B6" s="433">
        <f>AVERAGE(C6:L6)</f>
        <v>8.7415200431747997E-3</v>
      </c>
      <c r="C6" s="434">
        <f>BEaH24!R57</f>
        <v>9.1238605542330563E-3</v>
      </c>
      <c r="D6" s="434">
        <f>BEaH25!R57</f>
        <v>8.3591795321165448E-3</v>
      </c>
      <c r="E6" s="434"/>
      <c r="F6" s="434"/>
      <c r="G6" s="434"/>
      <c r="H6" s="434"/>
      <c r="I6" s="434"/>
      <c r="J6" s="434"/>
      <c r="K6" s="434"/>
      <c r="L6" s="435"/>
    </row>
    <row r="13" spans="1:78" x14ac:dyDescent="0.35">
      <c r="L13" s="426" t="s">
        <v>175</v>
      </c>
    </row>
  </sheetData>
  <mergeCells count="1">
    <mergeCell ref="C1:L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A2A4-62CF-4FF5-9A6C-84F7091F1443}">
  <dimension ref="A1:L6"/>
  <sheetViews>
    <sheetView showGridLines="0" workbookViewId="0">
      <selection activeCell="J35" sqref="J35"/>
    </sheetView>
  </sheetViews>
  <sheetFormatPr baseColWidth="10" defaultColWidth="11.5546875" defaultRowHeight="15.6" x14ac:dyDescent="0.35"/>
  <cols>
    <col min="1" max="1" width="22.44140625" style="426" customWidth="1"/>
    <col min="2" max="2" width="14.21875" style="426" hidden="1" customWidth="1"/>
    <col min="3" max="16384" width="11.5546875" style="426"/>
  </cols>
  <sheetData>
    <row r="1" spans="1:12" ht="16.2" thickBot="1" x14ac:dyDescent="0.4">
      <c r="A1" s="424"/>
      <c r="B1" s="425"/>
      <c r="C1" s="567" t="s">
        <v>162</v>
      </c>
      <c r="D1" s="567"/>
      <c r="E1" s="567"/>
      <c r="F1" s="567"/>
      <c r="G1" s="567"/>
      <c r="H1" s="567"/>
      <c r="I1" s="567"/>
      <c r="J1" s="567"/>
      <c r="K1" s="567"/>
      <c r="L1" s="568"/>
    </row>
    <row r="2" spans="1:12" ht="31.8" thickBot="1" x14ac:dyDescent="0.4">
      <c r="A2" s="427"/>
      <c r="B2" s="428" t="s">
        <v>109</v>
      </c>
      <c r="C2" s="429">
        <v>2024</v>
      </c>
      <c r="D2" s="429">
        <v>2025</v>
      </c>
      <c r="E2" s="429"/>
      <c r="F2" s="430"/>
      <c r="G2" s="429"/>
      <c r="H2" s="429"/>
      <c r="I2" s="429"/>
      <c r="J2" s="429"/>
      <c r="K2" s="429"/>
      <c r="L2" s="431"/>
    </row>
    <row r="3" spans="1:12" ht="31.8" thickBot="1" x14ac:dyDescent="0.4">
      <c r="A3" s="432" t="s">
        <v>163</v>
      </c>
      <c r="B3" s="433">
        <f>AVERAGE(C3:L3)</f>
        <v>0.17355925803454988</v>
      </c>
      <c r="C3" s="434">
        <f>BEaH24!AE14</f>
        <v>0.194394945731411</v>
      </c>
      <c r="D3" s="434">
        <f>BEaH25!AE14</f>
        <v>0.15272357033768877</v>
      </c>
      <c r="E3" s="434"/>
      <c r="F3" s="434"/>
      <c r="G3" s="434"/>
      <c r="H3" s="434"/>
      <c r="I3" s="434"/>
      <c r="J3" s="434"/>
      <c r="K3" s="434"/>
      <c r="L3" s="435"/>
    </row>
    <row r="4" spans="1:12" ht="47.4" thickBot="1" x14ac:dyDescent="0.4">
      <c r="A4" s="432" t="s">
        <v>164</v>
      </c>
      <c r="B4" s="433">
        <f>AVERAGE(C4:L4)</f>
        <v>0.16208744187517277</v>
      </c>
      <c r="C4" s="434">
        <f>BEaH24!AE29</f>
        <v>0.20977295162882525</v>
      </c>
      <c r="D4" s="434">
        <f>BEaH25!AE29</f>
        <v>0.11440193212152026</v>
      </c>
      <c r="E4" s="434"/>
      <c r="F4" s="434"/>
      <c r="G4" s="434"/>
      <c r="H4" s="434"/>
      <c r="I4" s="434"/>
      <c r="J4" s="434"/>
      <c r="K4" s="434"/>
      <c r="L4" s="435"/>
    </row>
    <row r="5" spans="1:12" ht="31.8" thickBot="1" x14ac:dyDescent="0.4">
      <c r="A5" s="432" t="s">
        <v>165</v>
      </c>
      <c r="B5" s="433">
        <f>AVERAGE(C5:L5)</f>
        <v>5.7268207073394473E-2</v>
      </c>
      <c r="C5" s="434">
        <f>BEaH24!AE51</f>
        <v>6.484534873111665E-2</v>
      </c>
      <c r="D5" s="434">
        <f>BEaH25!AE51</f>
        <v>4.9691065415672295E-2</v>
      </c>
      <c r="E5" s="434"/>
      <c r="F5" s="434"/>
      <c r="G5" s="434"/>
      <c r="H5" s="434"/>
      <c r="I5" s="434"/>
      <c r="J5" s="434"/>
      <c r="K5" s="434"/>
      <c r="L5" s="435"/>
    </row>
    <row r="6" spans="1:12" ht="16.2" thickBot="1" x14ac:dyDescent="0.4">
      <c r="A6" s="432" t="s">
        <v>161</v>
      </c>
      <c r="B6" s="433">
        <f>AVERAGE(C6:L6)</f>
        <v>7.5767628156654249E-3</v>
      </c>
      <c r="C6" s="434">
        <f>BEaH24!AE57</f>
        <v>9.6768217999441495E-3</v>
      </c>
      <c r="D6" s="434">
        <f>BEaH25!AE57</f>
        <v>5.4767038313867011E-3</v>
      </c>
      <c r="E6" s="434"/>
      <c r="F6" s="434"/>
      <c r="G6" s="434"/>
      <c r="H6" s="434"/>
      <c r="I6" s="434"/>
      <c r="J6" s="434"/>
      <c r="K6" s="434"/>
      <c r="L6" s="435"/>
    </row>
  </sheetData>
  <mergeCells count="1">
    <mergeCell ref="C1:L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1:U9"/>
  <sheetViews>
    <sheetView showGridLines="0" zoomScale="110" zoomScaleNormal="110" workbookViewId="0">
      <selection activeCell="J8" sqref="J8"/>
    </sheetView>
  </sheetViews>
  <sheetFormatPr baseColWidth="10" defaultColWidth="11.44140625" defaultRowHeight="15" x14ac:dyDescent="0.35"/>
  <cols>
    <col min="1" max="16384" width="11.44140625" style="339"/>
  </cols>
  <sheetData>
    <row r="1" spans="1:21" x14ac:dyDescent="0.35">
      <c r="A1" s="334"/>
      <c r="B1" s="335">
        <v>2006</v>
      </c>
      <c r="C1" s="336">
        <v>2007</v>
      </c>
      <c r="D1" s="336">
        <v>2008</v>
      </c>
      <c r="E1" s="336">
        <v>2009</v>
      </c>
      <c r="F1" s="336">
        <v>2010</v>
      </c>
      <c r="G1" s="336">
        <v>2011</v>
      </c>
      <c r="H1" s="336">
        <v>2012</v>
      </c>
      <c r="I1" s="336">
        <v>2013</v>
      </c>
      <c r="J1" s="336">
        <v>2014</v>
      </c>
      <c r="K1" s="336">
        <v>2015</v>
      </c>
      <c r="L1" s="336">
        <v>2016</v>
      </c>
      <c r="M1" s="336">
        <v>2017</v>
      </c>
      <c r="N1" s="336">
        <v>2018</v>
      </c>
      <c r="O1" s="337">
        <v>2019</v>
      </c>
      <c r="P1" s="336">
        <v>2020</v>
      </c>
      <c r="Q1" s="336">
        <v>2021</v>
      </c>
      <c r="R1" s="336">
        <v>2022</v>
      </c>
      <c r="S1" s="336">
        <v>2023</v>
      </c>
      <c r="T1" s="336">
        <v>2024</v>
      </c>
      <c r="U1" s="338">
        <v>2025</v>
      </c>
    </row>
    <row r="2" spans="1:21" ht="15.6" thickBot="1" x14ac:dyDescent="0.4">
      <c r="A2" s="340" t="s">
        <v>85</v>
      </c>
      <c r="B2" s="341">
        <v>12431</v>
      </c>
      <c r="C2" s="342">
        <v>12023</v>
      </c>
      <c r="D2" s="342">
        <v>11927</v>
      </c>
      <c r="E2" s="342">
        <v>10202</v>
      </c>
      <c r="F2" s="343">
        <v>10063</v>
      </c>
      <c r="G2" s="343">
        <v>9346</v>
      </c>
      <c r="H2" s="343">
        <v>8583</v>
      </c>
      <c r="I2" s="343">
        <f>BEaH13!G11</f>
        <v>8015</v>
      </c>
      <c r="J2" s="341">
        <f>BEaH14!G11</f>
        <v>7252</v>
      </c>
      <c r="K2" s="343">
        <f>BEaH15!G11</f>
        <v>7289</v>
      </c>
      <c r="L2" s="343">
        <f>BEaH16!G11</f>
        <v>7377</v>
      </c>
      <c r="M2" s="341">
        <f>BEaH17!G11</f>
        <v>7311</v>
      </c>
      <c r="N2" s="341">
        <f>BEaH18!G11</f>
        <v>6617</v>
      </c>
      <c r="O2" s="344">
        <f>BEaH19!G11</f>
        <v>6225</v>
      </c>
      <c r="P2" s="341">
        <f>BEaH20!G11</f>
        <v>6463</v>
      </c>
      <c r="Q2" s="341">
        <f>BEaH21!G11</f>
        <v>6508</v>
      </c>
      <c r="R2" s="341">
        <f>BEaH22!G11</f>
        <v>6175</v>
      </c>
      <c r="S2" s="341">
        <f>BEaH23!G12</f>
        <v>6239</v>
      </c>
      <c r="T2" s="341">
        <f>BEaH24!G13</f>
        <v>6173</v>
      </c>
      <c r="U2" s="345">
        <f>BEaH25!G13</f>
        <v>5893</v>
      </c>
    </row>
    <row r="3" spans="1:21" x14ac:dyDescent="0.35">
      <c r="A3" s="346"/>
      <c r="B3" s="347"/>
      <c r="C3" s="348"/>
      <c r="D3" s="348"/>
      <c r="E3" s="348"/>
      <c r="F3" s="349"/>
      <c r="G3" s="346"/>
      <c r="H3" s="346"/>
      <c r="I3" s="346"/>
      <c r="J3" s="346"/>
      <c r="K3" s="346"/>
      <c r="L3" s="346"/>
      <c r="M3" s="346"/>
      <c r="N3" s="346"/>
    </row>
    <row r="4" spans="1:21" x14ac:dyDescent="0.35">
      <c r="A4" s="346"/>
      <c r="B4" s="347"/>
      <c r="C4" s="350"/>
      <c r="D4" s="351"/>
      <c r="E4" s="351"/>
      <c r="F4" s="352"/>
      <c r="G4" s="346"/>
      <c r="H4" s="346"/>
      <c r="I4" s="346"/>
      <c r="J4" s="346"/>
      <c r="K4" s="346"/>
      <c r="L4" s="346"/>
      <c r="M4" s="346"/>
      <c r="N4" s="346"/>
    </row>
    <row r="5" spans="1:21" x14ac:dyDescent="0.35">
      <c r="A5" s="346"/>
      <c r="B5" s="347"/>
      <c r="C5" s="348"/>
      <c r="D5" s="348"/>
      <c r="E5" s="351"/>
      <c r="F5" s="349"/>
      <c r="G5" s="346"/>
      <c r="H5" s="346"/>
      <c r="I5" s="346"/>
      <c r="J5" s="346"/>
      <c r="K5" s="346"/>
      <c r="L5" s="346"/>
      <c r="M5" s="346"/>
      <c r="N5" s="346"/>
    </row>
    <row r="6" spans="1:21" x14ac:dyDescent="0.35">
      <c r="A6" s="346"/>
      <c r="B6" s="347"/>
      <c r="C6" s="348"/>
      <c r="D6" s="348"/>
      <c r="E6" s="351"/>
      <c r="F6" s="349"/>
      <c r="G6" s="346"/>
      <c r="H6" s="346"/>
      <c r="I6" s="346"/>
      <c r="J6" s="346"/>
      <c r="K6" s="346"/>
      <c r="L6" s="346"/>
      <c r="M6" s="346"/>
      <c r="N6" s="346"/>
    </row>
    <row r="7" spans="1:21" x14ac:dyDescent="0.35">
      <c r="A7" s="346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</row>
    <row r="9" spans="1:21" x14ac:dyDescent="0.35">
      <c r="G9" s="339" t="s">
        <v>70</v>
      </c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7"/>
  <dimension ref="A1:J103"/>
  <sheetViews>
    <sheetView showGridLines="0" topLeftCell="C2" zoomScaleNormal="100" workbookViewId="0">
      <selection activeCell="H8" sqref="H8"/>
    </sheetView>
  </sheetViews>
  <sheetFormatPr baseColWidth="10" defaultRowHeight="15.6" x14ac:dyDescent="0.35"/>
  <cols>
    <col min="1" max="1" width="15.44140625" style="353" customWidth="1"/>
    <col min="2" max="2" width="11.44140625" style="353" customWidth="1"/>
    <col min="3" max="3" width="24.5546875" style="353" customWidth="1"/>
    <col min="4" max="246" width="11.44140625" style="353"/>
    <col min="247" max="247" width="15.44140625" style="353" customWidth="1"/>
    <col min="248" max="250" width="0" style="353" hidden="1" customWidth="1"/>
    <col min="251" max="251" width="24.5546875" style="353" customWidth="1"/>
    <col min="252" max="256" width="0" style="353" hidden="1" customWidth="1"/>
    <col min="257" max="502" width="11.44140625" style="353"/>
    <col min="503" max="503" width="15.44140625" style="353" customWidth="1"/>
    <col min="504" max="506" width="0" style="353" hidden="1" customWidth="1"/>
    <col min="507" max="507" width="24.5546875" style="353" customWidth="1"/>
    <col min="508" max="512" width="0" style="353" hidden="1" customWidth="1"/>
    <col min="513" max="758" width="11.44140625" style="353"/>
    <col min="759" max="759" width="15.44140625" style="353" customWidth="1"/>
    <col min="760" max="762" width="0" style="353" hidden="1" customWidth="1"/>
    <col min="763" max="763" width="24.5546875" style="353" customWidth="1"/>
    <col min="764" max="768" width="0" style="353" hidden="1" customWidth="1"/>
    <col min="769" max="1014" width="11.44140625" style="353"/>
    <col min="1015" max="1015" width="15.44140625" style="353" customWidth="1"/>
    <col min="1016" max="1018" width="0" style="353" hidden="1" customWidth="1"/>
    <col min="1019" max="1019" width="24.5546875" style="353" customWidth="1"/>
    <col min="1020" max="1024" width="0" style="353" hidden="1" customWidth="1"/>
    <col min="1025" max="1270" width="11.44140625" style="353"/>
    <col min="1271" max="1271" width="15.44140625" style="353" customWidth="1"/>
    <col min="1272" max="1274" width="0" style="353" hidden="1" customWidth="1"/>
    <col min="1275" max="1275" width="24.5546875" style="353" customWidth="1"/>
    <col min="1276" max="1280" width="0" style="353" hidden="1" customWidth="1"/>
    <col min="1281" max="1526" width="11.44140625" style="353"/>
    <col min="1527" max="1527" width="15.44140625" style="353" customWidth="1"/>
    <col min="1528" max="1530" width="0" style="353" hidden="1" customWidth="1"/>
    <col min="1531" max="1531" width="24.5546875" style="353" customWidth="1"/>
    <col min="1532" max="1536" width="0" style="353" hidden="1" customWidth="1"/>
    <col min="1537" max="1782" width="11.44140625" style="353"/>
    <col min="1783" max="1783" width="15.44140625" style="353" customWidth="1"/>
    <col min="1784" max="1786" width="0" style="353" hidden="1" customWidth="1"/>
    <col min="1787" max="1787" width="24.5546875" style="353" customWidth="1"/>
    <col min="1788" max="1792" width="0" style="353" hidden="1" customWidth="1"/>
    <col min="1793" max="2038" width="11.44140625" style="353"/>
    <col min="2039" max="2039" width="15.44140625" style="353" customWidth="1"/>
    <col min="2040" max="2042" width="0" style="353" hidden="1" customWidth="1"/>
    <col min="2043" max="2043" width="24.5546875" style="353" customWidth="1"/>
    <col min="2044" max="2048" width="0" style="353" hidden="1" customWidth="1"/>
    <col min="2049" max="2294" width="11.44140625" style="353"/>
    <col min="2295" max="2295" width="15.44140625" style="353" customWidth="1"/>
    <col min="2296" max="2298" width="0" style="353" hidden="1" customWidth="1"/>
    <col min="2299" max="2299" width="24.5546875" style="353" customWidth="1"/>
    <col min="2300" max="2304" width="0" style="353" hidden="1" customWidth="1"/>
    <col min="2305" max="2550" width="11.44140625" style="353"/>
    <col min="2551" max="2551" width="15.44140625" style="353" customWidth="1"/>
    <col min="2552" max="2554" width="0" style="353" hidden="1" customWidth="1"/>
    <col min="2555" max="2555" width="24.5546875" style="353" customWidth="1"/>
    <col min="2556" max="2560" width="0" style="353" hidden="1" customWidth="1"/>
    <col min="2561" max="2806" width="11.44140625" style="353"/>
    <col min="2807" max="2807" width="15.44140625" style="353" customWidth="1"/>
    <col min="2808" max="2810" width="0" style="353" hidden="1" customWidth="1"/>
    <col min="2811" max="2811" width="24.5546875" style="353" customWidth="1"/>
    <col min="2812" max="2816" width="0" style="353" hidden="1" customWidth="1"/>
    <col min="2817" max="3062" width="11.44140625" style="353"/>
    <col min="3063" max="3063" width="15.44140625" style="353" customWidth="1"/>
    <col min="3064" max="3066" width="0" style="353" hidden="1" customWidth="1"/>
    <col min="3067" max="3067" width="24.5546875" style="353" customWidth="1"/>
    <col min="3068" max="3072" width="0" style="353" hidden="1" customWidth="1"/>
    <col min="3073" max="3318" width="11.44140625" style="353"/>
    <col min="3319" max="3319" width="15.44140625" style="353" customWidth="1"/>
    <col min="3320" max="3322" width="0" style="353" hidden="1" customWidth="1"/>
    <col min="3323" max="3323" width="24.5546875" style="353" customWidth="1"/>
    <col min="3324" max="3328" width="0" style="353" hidden="1" customWidth="1"/>
    <col min="3329" max="3574" width="11.44140625" style="353"/>
    <col min="3575" max="3575" width="15.44140625" style="353" customWidth="1"/>
    <col min="3576" max="3578" width="0" style="353" hidden="1" customWidth="1"/>
    <col min="3579" max="3579" width="24.5546875" style="353" customWidth="1"/>
    <col min="3580" max="3584" width="0" style="353" hidden="1" customWidth="1"/>
    <col min="3585" max="3830" width="11.44140625" style="353"/>
    <col min="3831" max="3831" width="15.44140625" style="353" customWidth="1"/>
    <col min="3832" max="3834" width="0" style="353" hidden="1" customWidth="1"/>
    <col min="3835" max="3835" width="24.5546875" style="353" customWidth="1"/>
    <col min="3836" max="3840" width="0" style="353" hidden="1" customWidth="1"/>
    <col min="3841" max="4086" width="11.44140625" style="353"/>
    <col min="4087" max="4087" width="15.44140625" style="353" customWidth="1"/>
    <col min="4088" max="4090" width="0" style="353" hidden="1" customWidth="1"/>
    <col min="4091" max="4091" width="24.5546875" style="353" customWidth="1"/>
    <col min="4092" max="4096" width="0" style="353" hidden="1" customWidth="1"/>
    <col min="4097" max="4342" width="11.44140625" style="353"/>
    <col min="4343" max="4343" width="15.44140625" style="353" customWidth="1"/>
    <col min="4344" max="4346" width="0" style="353" hidden="1" customWidth="1"/>
    <col min="4347" max="4347" width="24.5546875" style="353" customWidth="1"/>
    <col min="4348" max="4352" width="0" style="353" hidden="1" customWidth="1"/>
    <col min="4353" max="4598" width="11.44140625" style="353"/>
    <col min="4599" max="4599" width="15.44140625" style="353" customWidth="1"/>
    <col min="4600" max="4602" width="0" style="353" hidden="1" customWidth="1"/>
    <col min="4603" max="4603" width="24.5546875" style="353" customWidth="1"/>
    <col min="4604" max="4608" width="0" style="353" hidden="1" customWidth="1"/>
    <col min="4609" max="4854" width="11.44140625" style="353"/>
    <col min="4855" max="4855" width="15.44140625" style="353" customWidth="1"/>
    <col min="4856" max="4858" width="0" style="353" hidden="1" customWidth="1"/>
    <col min="4859" max="4859" width="24.5546875" style="353" customWidth="1"/>
    <col min="4860" max="4864" width="0" style="353" hidden="1" customWidth="1"/>
    <col min="4865" max="5110" width="11.44140625" style="353"/>
    <col min="5111" max="5111" width="15.44140625" style="353" customWidth="1"/>
    <col min="5112" max="5114" width="0" style="353" hidden="1" customWidth="1"/>
    <col min="5115" max="5115" width="24.5546875" style="353" customWidth="1"/>
    <col min="5116" max="5120" width="0" style="353" hidden="1" customWidth="1"/>
    <col min="5121" max="5366" width="11.44140625" style="353"/>
    <col min="5367" max="5367" width="15.44140625" style="353" customWidth="1"/>
    <col min="5368" max="5370" width="0" style="353" hidden="1" customWidth="1"/>
    <col min="5371" max="5371" width="24.5546875" style="353" customWidth="1"/>
    <col min="5372" max="5376" width="0" style="353" hidden="1" customWidth="1"/>
    <col min="5377" max="5622" width="11.44140625" style="353"/>
    <col min="5623" max="5623" width="15.44140625" style="353" customWidth="1"/>
    <col min="5624" max="5626" width="0" style="353" hidden="1" customWidth="1"/>
    <col min="5627" max="5627" width="24.5546875" style="353" customWidth="1"/>
    <col min="5628" max="5632" width="0" style="353" hidden="1" customWidth="1"/>
    <col min="5633" max="5878" width="11.44140625" style="353"/>
    <col min="5879" max="5879" width="15.44140625" style="353" customWidth="1"/>
    <col min="5880" max="5882" width="0" style="353" hidden="1" customWidth="1"/>
    <col min="5883" max="5883" width="24.5546875" style="353" customWidth="1"/>
    <col min="5884" max="5888" width="0" style="353" hidden="1" customWidth="1"/>
    <col min="5889" max="6134" width="11.44140625" style="353"/>
    <col min="6135" max="6135" width="15.44140625" style="353" customWidth="1"/>
    <col min="6136" max="6138" width="0" style="353" hidden="1" customWidth="1"/>
    <col min="6139" max="6139" width="24.5546875" style="353" customWidth="1"/>
    <col min="6140" max="6144" width="0" style="353" hidden="1" customWidth="1"/>
    <col min="6145" max="6390" width="11.44140625" style="353"/>
    <col min="6391" max="6391" width="15.44140625" style="353" customWidth="1"/>
    <col min="6392" max="6394" width="0" style="353" hidden="1" customWidth="1"/>
    <col min="6395" max="6395" width="24.5546875" style="353" customWidth="1"/>
    <col min="6396" max="6400" width="0" style="353" hidden="1" customWidth="1"/>
    <col min="6401" max="6646" width="11.44140625" style="353"/>
    <col min="6647" max="6647" width="15.44140625" style="353" customWidth="1"/>
    <col min="6648" max="6650" width="0" style="353" hidden="1" customWidth="1"/>
    <col min="6651" max="6651" width="24.5546875" style="353" customWidth="1"/>
    <col min="6652" max="6656" width="0" style="353" hidden="1" customWidth="1"/>
    <col min="6657" max="6902" width="11.44140625" style="353"/>
    <col min="6903" max="6903" width="15.44140625" style="353" customWidth="1"/>
    <col min="6904" max="6906" width="0" style="353" hidden="1" customWidth="1"/>
    <col min="6907" max="6907" width="24.5546875" style="353" customWidth="1"/>
    <col min="6908" max="6912" width="0" style="353" hidden="1" customWidth="1"/>
    <col min="6913" max="7158" width="11.44140625" style="353"/>
    <col min="7159" max="7159" width="15.44140625" style="353" customWidth="1"/>
    <col min="7160" max="7162" width="0" style="353" hidden="1" customWidth="1"/>
    <col min="7163" max="7163" width="24.5546875" style="353" customWidth="1"/>
    <col min="7164" max="7168" width="0" style="353" hidden="1" customWidth="1"/>
    <col min="7169" max="7414" width="11.44140625" style="353"/>
    <col min="7415" max="7415" width="15.44140625" style="353" customWidth="1"/>
    <col min="7416" max="7418" width="0" style="353" hidden="1" customWidth="1"/>
    <col min="7419" max="7419" width="24.5546875" style="353" customWidth="1"/>
    <col min="7420" max="7424" width="0" style="353" hidden="1" customWidth="1"/>
    <col min="7425" max="7670" width="11.44140625" style="353"/>
    <col min="7671" max="7671" width="15.44140625" style="353" customWidth="1"/>
    <col min="7672" max="7674" width="0" style="353" hidden="1" customWidth="1"/>
    <col min="7675" max="7675" width="24.5546875" style="353" customWidth="1"/>
    <col min="7676" max="7680" width="0" style="353" hidden="1" customWidth="1"/>
    <col min="7681" max="7926" width="11.44140625" style="353"/>
    <col min="7927" max="7927" width="15.44140625" style="353" customWidth="1"/>
    <col min="7928" max="7930" width="0" style="353" hidden="1" customWidth="1"/>
    <col min="7931" max="7931" width="24.5546875" style="353" customWidth="1"/>
    <col min="7932" max="7936" width="0" style="353" hidden="1" customWidth="1"/>
    <col min="7937" max="8182" width="11.44140625" style="353"/>
    <col min="8183" max="8183" width="15.44140625" style="353" customWidth="1"/>
    <col min="8184" max="8186" width="0" style="353" hidden="1" customWidth="1"/>
    <col min="8187" max="8187" width="24.5546875" style="353" customWidth="1"/>
    <col min="8188" max="8192" width="0" style="353" hidden="1" customWidth="1"/>
    <col min="8193" max="8438" width="11.44140625" style="353"/>
    <col min="8439" max="8439" width="15.44140625" style="353" customWidth="1"/>
    <col min="8440" max="8442" width="0" style="353" hidden="1" customWidth="1"/>
    <col min="8443" max="8443" width="24.5546875" style="353" customWidth="1"/>
    <col min="8444" max="8448" width="0" style="353" hidden="1" customWidth="1"/>
    <col min="8449" max="8694" width="11.44140625" style="353"/>
    <col min="8695" max="8695" width="15.44140625" style="353" customWidth="1"/>
    <col min="8696" max="8698" width="0" style="353" hidden="1" customWidth="1"/>
    <col min="8699" max="8699" width="24.5546875" style="353" customWidth="1"/>
    <col min="8700" max="8704" width="0" style="353" hidden="1" customWidth="1"/>
    <col min="8705" max="8950" width="11.44140625" style="353"/>
    <col min="8951" max="8951" width="15.44140625" style="353" customWidth="1"/>
    <col min="8952" max="8954" width="0" style="353" hidden="1" customWidth="1"/>
    <col min="8955" max="8955" width="24.5546875" style="353" customWidth="1"/>
    <col min="8956" max="8960" width="0" style="353" hidden="1" customWidth="1"/>
    <col min="8961" max="9206" width="11.44140625" style="353"/>
    <col min="9207" max="9207" width="15.44140625" style="353" customWidth="1"/>
    <col min="9208" max="9210" width="0" style="353" hidden="1" customWidth="1"/>
    <col min="9211" max="9211" width="24.5546875" style="353" customWidth="1"/>
    <col min="9212" max="9216" width="0" style="353" hidden="1" customWidth="1"/>
    <col min="9217" max="9462" width="11.44140625" style="353"/>
    <col min="9463" max="9463" width="15.44140625" style="353" customWidth="1"/>
    <col min="9464" max="9466" width="0" style="353" hidden="1" customWidth="1"/>
    <col min="9467" max="9467" width="24.5546875" style="353" customWidth="1"/>
    <col min="9468" max="9472" width="0" style="353" hidden="1" customWidth="1"/>
    <col min="9473" max="9718" width="11.44140625" style="353"/>
    <col min="9719" max="9719" width="15.44140625" style="353" customWidth="1"/>
    <col min="9720" max="9722" width="0" style="353" hidden="1" customWidth="1"/>
    <col min="9723" max="9723" width="24.5546875" style="353" customWidth="1"/>
    <col min="9724" max="9728" width="0" style="353" hidden="1" customWidth="1"/>
    <col min="9729" max="9974" width="11.44140625" style="353"/>
    <col min="9975" max="9975" width="15.44140625" style="353" customWidth="1"/>
    <col min="9976" max="9978" width="0" style="353" hidden="1" customWidth="1"/>
    <col min="9979" max="9979" width="24.5546875" style="353" customWidth="1"/>
    <col min="9980" max="9984" width="0" style="353" hidden="1" customWidth="1"/>
    <col min="9985" max="10230" width="11.44140625" style="353"/>
    <col min="10231" max="10231" width="15.44140625" style="353" customWidth="1"/>
    <col min="10232" max="10234" width="0" style="353" hidden="1" customWidth="1"/>
    <col min="10235" max="10235" width="24.5546875" style="353" customWidth="1"/>
    <col min="10236" max="10240" width="0" style="353" hidden="1" customWidth="1"/>
    <col min="10241" max="10486" width="11.44140625" style="353"/>
    <col min="10487" max="10487" width="15.44140625" style="353" customWidth="1"/>
    <col min="10488" max="10490" width="0" style="353" hidden="1" customWidth="1"/>
    <col min="10491" max="10491" width="24.5546875" style="353" customWidth="1"/>
    <col min="10492" max="10496" width="0" style="353" hidden="1" customWidth="1"/>
    <col min="10497" max="10742" width="11.44140625" style="353"/>
    <col min="10743" max="10743" width="15.44140625" style="353" customWidth="1"/>
    <col min="10744" max="10746" width="0" style="353" hidden="1" customWidth="1"/>
    <col min="10747" max="10747" width="24.5546875" style="353" customWidth="1"/>
    <col min="10748" max="10752" width="0" style="353" hidden="1" customWidth="1"/>
    <col min="10753" max="10998" width="11.44140625" style="353"/>
    <col min="10999" max="10999" width="15.44140625" style="353" customWidth="1"/>
    <col min="11000" max="11002" width="0" style="353" hidden="1" customWidth="1"/>
    <col min="11003" max="11003" width="24.5546875" style="353" customWidth="1"/>
    <col min="11004" max="11008" width="0" style="353" hidden="1" customWidth="1"/>
    <col min="11009" max="11254" width="11.44140625" style="353"/>
    <col min="11255" max="11255" width="15.44140625" style="353" customWidth="1"/>
    <col min="11256" max="11258" width="0" style="353" hidden="1" customWidth="1"/>
    <col min="11259" max="11259" width="24.5546875" style="353" customWidth="1"/>
    <col min="11260" max="11264" width="0" style="353" hidden="1" customWidth="1"/>
    <col min="11265" max="11510" width="11.44140625" style="353"/>
    <col min="11511" max="11511" width="15.44140625" style="353" customWidth="1"/>
    <col min="11512" max="11514" width="0" style="353" hidden="1" customWidth="1"/>
    <col min="11515" max="11515" width="24.5546875" style="353" customWidth="1"/>
    <col min="11516" max="11520" width="0" style="353" hidden="1" customWidth="1"/>
    <col min="11521" max="11766" width="11.44140625" style="353"/>
    <col min="11767" max="11767" width="15.44140625" style="353" customWidth="1"/>
    <col min="11768" max="11770" width="0" style="353" hidden="1" customWidth="1"/>
    <col min="11771" max="11771" width="24.5546875" style="353" customWidth="1"/>
    <col min="11772" max="11776" width="0" style="353" hidden="1" customWidth="1"/>
    <col min="11777" max="12022" width="11.44140625" style="353"/>
    <col min="12023" max="12023" width="15.44140625" style="353" customWidth="1"/>
    <col min="12024" max="12026" width="0" style="353" hidden="1" customWidth="1"/>
    <col min="12027" max="12027" width="24.5546875" style="353" customWidth="1"/>
    <col min="12028" max="12032" width="0" style="353" hidden="1" customWidth="1"/>
    <col min="12033" max="12278" width="11.44140625" style="353"/>
    <col min="12279" max="12279" width="15.44140625" style="353" customWidth="1"/>
    <col min="12280" max="12282" width="0" style="353" hidden="1" customWidth="1"/>
    <col min="12283" max="12283" width="24.5546875" style="353" customWidth="1"/>
    <col min="12284" max="12288" width="0" style="353" hidden="1" customWidth="1"/>
    <col min="12289" max="12534" width="11.44140625" style="353"/>
    <col min="12535" max="12535" width="15.44140625" style="353" customWidth="1"/>
    <col min="12536" max="12538" width="0" style="353" hidden="1" customWidth="1"/>
    <col min="12539" max="12539" width="24.5546875" style="353" customWidth="1"/>
    <col min="12540" max="12544" width="0" style="353" hidden="1" customWidth="1"/>
    <col min="12545" max="12790" width="11.44140625" style="353"/>
    <col min="12791" max="12791" width="15.44140625" style="353" customWidth="1"/>
    <col min="12792" max="12794" width="0" style="353" hidden="1" customWidth="1"/>
    <col min="12795" max="12795" width="24.5546875" style="353" customWidth="1"/>
    <col min="12796" max="12800" width="0" style="353" hidden="1" customWidth="1"/>
    <col min="12801" max="13046" width="11.44140625" style="353"/>
    <col min="13047" max="13047" width="15.44140625" style="353" customWidth="1"/>
    <col min="13048" max="13050" width="0" style="353" hidden="1" customWidth="1"/>
    <col min="13051" max="13051" width="24.5546875" style="353" customWidth="1"/>
    <col min="13052" max="13056" width="0" style="353" hidden="1" customWidth="1"/>
    <col min="13057" max="13302" width="11.44140625" style="353"/>
    <col min="13303" max="13303" width="15.44140625" style="353" customWidth="1"/>
    <col min="13304" max="13306" width="0" style="353" hidden="1" customWidth="1"/>
    <col min="13307" max="13307" width="24.5546875" style="353" customWidth="1"/>
    <col min="13308" max="13312" width="0" style="353" hidden="1" customWidth="1"/>
    <col min="13313" max="13558" width="11.44140625" style="353"/>
    <col min="13559" max="13559" width="15.44140625" style="353" customWidth="1"/>
    <col min="13560" max="13562" width="0" style="353" hidden="1" customWidth="1"/>
    <col min="13563" max="13563" width="24.5546875" style="353" customWidth="1"/>
    <col min="13564" max="13568" width="0" style="353" hidden="1" customWidth="1"/>
    <col min="13569" max="13814" width="11.44140625" style="353"/>
    <col min="13815" max="13815" width="15.44140625" style="353" customWidth="1"/>
    <col min="13816" max="13818" width="0" style="353" hidden="1" customWidth="1"/>
    <col min="13819" max="13819" width="24.5546875" style="353" customWidth="1"/>
    <col min="13820" max="13824" width="0" style="353" hidden="1" customWidth="1"/>
    <col min="13825" max="14070" width="11.44140625" style="353"/>
    <col min="14071" max="14071" width="15.44140625" style="353" customWidth="1"/>
    <col min="14072" max="14074" width="0" style="353" hidden="1" customWidth="1"/>
    <col min="14075" max="14075" width="24.5546875" style="353" customWidth="1"/>
    <col min="14076" max="14080" width="0" style="353" hidden="1" customWidth="1"/>
    <col min="14081" max="14326" width="11.44140625" style="353"/>
    <col min="14327" max="14327" width="15.44140625" style="353" customWidth="1"/>
    <col min="14328" max="14330" width="0" style="353" hidden="1" customWidth="1"/>
    <col min="14331" max="14331" width="24.5546875" style="353" customWidth="1"/>
    <col min="14332" max="14336" width="0" style="353" hidden="1" customWidth="1"/>
    <col min="14337" max="14582" width="11.44140625" style="353"/>
    <col min="14583" max="14583" width="15.44140625" style="353" customWidth="1"/>
    <col min="14584" max="14586" width="0" style="353" hidden="1" customWidth="1"/>
    <col min="14587" max="14587" width="24.5546875" style="353" customWidth="1"/>
    <col min="14588" max="14592" width="0" style="353" hidden="1" customWidth="1"/>
    <col min="14593" max="14838" width="11.44140625" style="353"/>
    <col min="14839" max="14839" width="15.44140625" style="353" customWidth="1"/>
    <col min="14840" max="14842" width="0" style="353" hidden="1" customWidth="1"/>
    <col min="14843" max="14843" width="24.5546875" style="353" customWidth="1"/>
    <col min="14844" max="14848" width="0" style="353" hidden="1" customWidth="1"/>
    <col min="14849" max="15094" width="11.44140625" style="353"/>
    <col min="15095" max="15095" width="15.44140625" style="353" customWidth="1"/>
    <col min="15096" max="15098" width="0" style="353" hidden="1" customWidth="1"/>
    <col min="15099" max="15099" width="24.5546875" style="353" customWidth="1"/>
    <col min="15100" max="15104" width="0" style="353" hidden="1" customWidth="1"/>
    <col min="15105" max="15350" width="11.44140625" style="353"/>
    <col min="15351" max="15351" width="15.44140625" style="353" customWidth="1"/>
    <col min="15352" max="15354" width="0" style="353" hidden="1" customWidth="1"/>
    <col min="15355" max="15355" width="24.5546875" style="353" customWidth="1"/>
    <col min="15356" max="15360" width="0" style="353" hidden="1" customWidth="1"/>
    <col min="15361" max="15606" width="11.44140625" style="353"/>
    <col min="15607" max="15607" width="15.44140625" style="353" customWidth="1"/>
    <col min="15608" max="15610" width="0" style="353" hidden="1" customWidth="1"/>
    <col min="15611" max="15611" width="24.5546875" style="353" customWidth="1"/>
    <col min="15612" max="15616" width="0" style="353" hidden="1" customWidth="1"/>
    <col min="15617" max="15862" width="11.44140625" style="353"/>
    <col min="15863" max="15863" width="15.44140625" style="353" customWidth="1"/>
    <col min="15864" max="15866" width="0" style="353" hidden="1" customWidth="1"/>
    <col min="15867" max="15867" width="24.5546875" style="353" customWidth="1"/>
    <col min="15868" max="15872" width="0" style="353" hidden="1" customWidth="1"/>
    <col min="15873" max="16118" width="11.44140625" style="353"/>
    <col min="16119" max="16119" width="15.44140625" style="353" customWidth="1"/>
    <col min="16120" max="16122" width="0" style="353" hidden="1" customWidth="1"/>
    <col min="16123" max="16123" width="24.5546875" style="353" customWidth="1"/>
    <col min="16124" max="16128" width="0" style="353" hidden="1" customWidth="1"/>
    <col min="16129" max="16379" width="11.44140625" style="353"/>
    <col min="16380" max="16380" width="11.44140625" style="353" customWidth="1"/>
    <col min="16381" max="16381" width="11.44140625" style="353"/>
    <col min="16382" max="16384" width="11.44140625" style="353" customWidth="1"/>
  </cols>
  <sheetData>
    <row r="1" spans="3:10" ht="16.2" hidden="1" thickBot="1" x14ac:dyDescent="0.4"/>
    <row r="2" spans="3:10" ht="16.2" thickBot="1" x14ac:dyDescent="0.4">
      <c r="C2" s="354"/>
      <c r="D2" s="355">
        <v>2021</v>
      </c>
      <c r="E2" s="355">
        <v>2022</v>
      </c>
      <c r="F2" s="356">
        <v>2023</v>
      </c>
      <c r="G2" s="356">
        <v>2024</v>
      </c>
      <c r="H2" s="356">
        <v>2025</v>
      </c>
    </row>
    <row r="3" spans="3:10" x14ac:dyDescent="0.35">
      <c r="C3" s="357" t="s">
        <v>86</v>
      </c>
      <c r="D3" s="358">
        <f>BEaH21!B11</f>
        <v>1447</v>
      </c>
      <c r="E3" s="358">
        <f>BEaH22!B11</f>
        <v>1327</v>
      </c>
      <c r="F3" s="359">
        <f>BEaH23!B12</f>
        <v>1270</v>
      </c>
      <c r="G3" s="359">
        <f>BEaH24!B13</f>
        <v>1265</v>
      </c>
      <c r="H3" s="359">
        <f>BEaH25!B13</f>
        <v>1228</v>
      </c>
    </row>
    <row r="4" spans="3:10" x14ac:dyDescent="0.35">
      <c r="C4" s="360" t="s">
        <v>69</v>
      </c>
      <c r="D4" s="361">
        <f>BEaH21!C11</f>
        <v>572</v>
      </c>
      <c r="E4" s="361">
        <f>BEaH22!C11</f>
        <v>606</v>
      </c>
      <c r="F4" s="362">
        <f>BEaH23!C12</f>
        <v>659</v>
      </c>
      <c r="G4" s="362">
        <f>BEaH24!C13</f>
        <v>677</v>
      </c>
      <c r="H4" s="362">
        <f>BEaH25!C13</f>
        <v>660</v>
      </c>
    </row>
    <row r="5" spans="3:10" x14ac:dyDescent="0.35">
      <c r="C5" s="360" t="s">
        <v>87</v>
      </c>
      <c r="D5" s="361">
        <f>BEaH21!D11</f>
        <v>1982</v>
      </c>
      <c r="E5" s="361">
        <f>BEaH22!D11</f>
        <v>1813</v>
      </c>
      <c r="F5" s="363">
        <f>BEaH23!D12</f>
        <v>1988</v>
      </c>
      <c r="G5" s="363">
        <f>BEaH24!D13</f>
        <v>1797</v>
      </c>
      <c r="H5" s="363">
        <f>BEaH25!D13</f>
        <v>1749</v>
      </c>
    </row>
    <row r="6" spans="3:10" x14ac:dyDescent="0.35">
      <c r="C6" s="360" t="s">
        <v>88</v>
      </c>
      <c r="D6" s="361">
        <f>BEaH21!E11</f>
        <v>1824</v>
      </c>
      <c r="E6" s="361">
        <f>BEaH22!E11</f>
        <v>1826</v>
      </c>
      <c r="F6" s="362">
        <f>BEaH23!E12</f>
        <v>1673</v>
      </c>
      <c r="G6" s="362">
        <f>BEaH24!E13</f>
        <v>1707</v>
      </c>
      <c r="H6" s="362">
        <f>BEaH25!E13</f>
        <v>1633</v>
      </c>
    </row>
    <row r="7" spans="3:10" ht="16.2" thickBot="1" x14ac:dyDescent="0.4">
      <c r="C7" s="364" t="s">
        <v>89</v>
      </c>
      <c r="D7" s="365">
        <f>BEaH21!F11</f>
        <v>683</v>
      </c>
      <c r="E7" s="365">
        <f>BEaH22!F11</f>
        <v>603</v>
      </c>
      <c r="F7" s="366">
        <f>BEaH23!F12</f>
        <v>649</v>
      </c>
      <c r="G7" s="366">
        <f>BEaH24!F13</f>
        <v>727</v>
      </c>
      <c r="H7" s="366">
        <f>BEaH25!F13</f>
        <v>623</v>
      </c>
    </row>
    <row r="8" spans="3:10" ht="16.2" thickBot="1" x14ac:dyDescent="0.4">
      <c r="C8" s="354"/>
      <c r="D8" s="367">
        <f>BEaH21!G11</f>
        <v>6508</v>
      </c>
      <c r="E8" s="367">
        <f>BEaH22!G11</f>
        <v>6175</v>
      </c>
      <c r="F8" s="368">
        <f>BEaH23!G12</f>
        <v>6239</v>
      </c>
      <c r="G8" s="368">
        <f>BEaH24!G13</f>
        <v>6173</v>
      </c>
      <c r="H8" s="368">
        <f>BEaH25!G13</f>
        <v>5893</v>
      </c>
      <c r="J8" s="369"/>
    </row>
    <row r="93" spans="1:3" x14ac:dyDescent="0.35">
      <c r="C93" s="370"/>
    </row>
    <row r="94" spans="1:3" x14ac:dyDescent="0.35">
      <c r="A94" s="371"/>
      <c r="B94" s="371"/>
      <c r="C94" s="371"/>
    </row>
    <row r="95" spans="1:3" x14ac:dyDescent="0.35">
      <c r="A95" s="371"/>
      <c r="B95" s="371"/>
      <c r="C95" s="371"/>
    </row>
    <row r="96" spans="1:3" x14ac:dyDescent="0.35">
      <c r="A96" s="371"/>
      <c r="B96" s="371"/>
      <c r="C96" s="371"/>
    </row>
    <row r="97" spans="1:3" x14ac:dyDescent="0.35">
      <c r="A97" s="371"/>
      <c r="B97" s="371"/>
      <c r="C97" s="371"/>
    </row>
    <row r="98" spans="1:3" x14ac:dyDescent="0.35">
      <c r="A98" s="371"/>
      <c r="B98" s="371"/>
      <c r="C98" s="371"/>
    </row>
    <row r="99" spans="1:3" x14ac:dyDescent="0.35">
      <c r="A99" s="371"/>
      <c r="B99" s="371"/>
      <c r="C99" s="371"/>
    </row>
    <row r="100" spans="1:3" x14ac:dyDescent="0.35">
      <c r="A100" s="371"/>
      <c r="B100" s="371"/>
      <c r="C100" s="371"/>
    </row>
    <row r="101" spans="1:3" x14ac:dyDescent="0.35">
      <c r="A101" s="371"/>
      <c r="B101" s="371"/>
      <c r="C101" s="371"/>
    </row>
    <row r="102" spans="1:3" x14ac:dyDescent="0.35">
      <c r="A102" s="371"/>
      <c r="B102" s="371"/>
      <c r="C102" s="371"/>
    </row>
    <row r="103" spans="1:3" x14ac:dyDescent="0.35">
      <c r="A103" s="371"/>
      <c r="B103" s="371"/>
      <c r="C103" s="371"/>
    </row>
  </sheetData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8"/>
  <dimension ref="A1:L24"/>
  <sheetViews>
    <sheetView showGridLines="0" zoomScaleNormal="100" workbookViewId="0">
      <selection activeCell="I18" sqref="I18"/>
    </sheetView>
  </sheetViews>
  <sheetFormatPr baseColWidth="10" defaultRowHeight="15.6" x14ac:dyDescent="0.35"/>
  <cols>
    <col min="1" max="1" width="21.77734375" style="353" customWidth="1"/>
    <col min="2" max="8" width="11.5546875" style="353" customWidth="1"/>
    <col min="9" max="9" width="11.44140625" style="353"/>
    <col min="10" max="10" width="15.44140625" style="353" bestFit="1" customWidth="1"/>
    <col min="11" max="255" width="11.44140625" style="353"/>
    <col min="256" max="256" width="21.77734375" style="353" customWidth="1"/>
    <col min="257" max="257" width="13.77734375" style="353" customWidth="1"/>
    <col min="258" max="258" width="11.44140625" style="353"/>
    <col min="259" max="259" width="0" style="353" hidden="1" customWidth="1"/>
    <col min="260" max="261" width="11.44140625" style="353"/>
    <col min="262" max="262" width="12.44140625" style="353" bestFit="1" customWidth="1"/>
    <col min="263" max="263" width="9.21875" style="353" bestFit="1" customWidth="1"/>
    <col min="264" max="264" width="11" style="353" bestFit="1" customWidth="1"/>
    <col min="265" max="265" width="11.44140625" style="353"/>
    <col min="266" max="266" width="15.44140625" style="353" bestFit="1" customWidth="1"/>
    <col min="267" max="511" width="11.44140625" style="353"/>
    <col min="512" max="512" width="21.77734375" style="353" customWidth="1"/>
    <col min="513" max="513" width="13.77734375" style="353" customWidth="1"/>
    <col min="514" max="514" width="11.44140625" style="353"/>
    <col min="515" max="515" width="0" style="353" hidden="1" customWidth="1"/>
    <col min="516" max="517" width="11.44140625" style="353"/>
    <col min="518" max="518" width="12.44140625" style="353" bestFit="1" customWidth="1"/>
    <col min="519" max="519" width="9.21875" style="353" bestFit="1" customWidth="1"/>
    <col min="520" max="520" width="11" style="353" bestFit="1" customWidth="1"/>
    <col min="521" max="521" width="11.44140625" style="353"/>
    <col min="522" max="522" width="15.44140625" style="353" bestFit="1" customWidth="1"/>
    <col min="523" max="767" width="11.44140625" style="353"/>
    <col min="768" max="768" width="21.77734375" style="353" customWidth="1"/>
    <col min="769" max="769" width="13.77734375" style="353" customWidth="1"/>
    <col min="770" max="770" width="11.44140625" style="353"/>
    <col min="771" max="771" width="0" style="353" hidden="1" customWidth="1"/>
    <col min="772" max="773" width="11.44140625" style="353"/>
    <col min="774" max="774" width="12.44140625" style="353" bestFit="1" customWidth="1"/>
    <col min="775" max="775" width="9.21875" style="353" bestFit="1" customWidth="1"/>
    <col min="776" max="776" width="11" style="353" bestFit="1" customWidth="1"/>
    <col min="777" max="777" width="11.44140625" style="353"/>
    <col min="778" max="778" width="15.44140625" style="353" bestFit="1" customWidth="1"/>
    <col min="779" max="1023" width="11.44140625" style="353"/>
    <col min="1024" max="1024" width="21.77734375" style="353" customWidth="1"/>
    <col min="1025" max="1025" width="13.77734375" style="353" customWidth="1"/>
    <col min="1026" max="1026" width="11.44140625" style="353"/>
    <col min="1027" max="1027" width="0" style="353" hidden="1" customWidth="1"/>
    <col min="1028" max="1029" width="11.44140625" style="353"/>
    <col min="1030" max="1030" width="12.44140625" style="353" bestFit="1" customWidth="1"/>
    <col min="1031" max="1031" width="9.21875" style="353" bestFit="1" customWidth="1"/>
    <col min="1032" max="1032" width="11" style="353" bestFit="1" customWidth="1"/>
    <col min="1033" max="1033" width="11.44140625" style="353"/>
    <col min="1034" max="1034" width="15.44140625" style="353" bestFit="1" customWidth="1"/>
    <col min="1035" max="1279" width="11.44140625" style="353"/>
    <col min="1280" max="1280" width="21.77734375" style="353" customWidth="1"/>
    <col min="1281" max="1281" width="13.77734375" style="353" customWidth="1"/>
    <col min="1282" max="1282" width="11.44140625" style="353"/>
    <col min="1283" max="1283" width="0" style="353" hidden="1" customWidth="1"/>
    <col min="1284" max="1285" width="11.44140625" style="353"/>
    <col min="1286" max="1286" width="12.44140625" style="353" bestFit="1" customWidth="1"/>
    <col min="1287" max="1287" width="9.21875" style="353" bestFit="1" customWidth="1"/>
    <col min="1288" max="1288" width="11" style="353" bestFit="1" customWidth="1"/>
    <col min="1289" max="1289" width="11.44140625" style="353"/>
    <col min="1290" max="1290" width="15.44140625" style="353" bestFit="1" customWidth="1"/>
    <col min="1291" max="1535" width="11.44140625" style="353"/>
    <col min="1536" max="1536" width="21.77734375" style="353" customWidth="1"/>
    <col min="1537" max="1537" width="13.77734375" style="353" customWidth="1"/>
    <col min="1538" max="1538" width="11.44140625" style="353"/>
    <col min="1539" max="1539" width="0" style="353" hidden="1" customWidth="1"/>
    <col min="1540" max="1541" width="11.44140625" style="353"/>
    <col min="1542" max="1542" width="12.44140625" style="353" bestFit="1" customWidth="1"/>
    <col min="1543" max="1543" width="9.21875" style="353" bestFit="1" customWidth="1"/>
    <col min="1544" max="1544" width="11" style="353" bestFit="1" customWidth="1"/>
    <col min="1545" max="1545" width="11.44140625" style="353"/>
    <col min="1546" max="1546" width="15.44140625" style="353" bestFit="1" customWidth="1"/>
    <col min="1547" max="1791" width="11.44140625" style="353"/>
    <col min="1792" max="1792" width="21.77734375" style="353" customWidth="1"/>
    <col min="1793" max="1793" width="13.77734375" style="353" customWidth="1"/>
    <col min="1794" max="1794" width="11.44140625" style="353"/>
    <col min="1795" max="1795" width="0" style="353" hidden="1" customWidth="1"/>
    <col min="1796" max="1797" width="11.44140625" style="353"/>
    <col min="1798" max="1798" width="12.44140625" style="353" bestFit="1" customWidth="1"/>
    <col min="1799" max="1799" width="9.21875" style="353" bestFit="1" customWidth="1"/>
    <col min="1800" max="1800" width="11" style="353" bestFit="1" customWidth="1"/>
    <col min="1801" max="1801" width="11.44140625" style="353"/>
    <col min="1802" max="1802" width="15.44140625" style="353" bestFit="1" customWidth="1"/>
    <col min="1803" max="2047" width="11.44140625" style="353"/>
    <col min="2048" max="2048" width="21.77734375" style="353" customWidth="1"/>
    <col min="2049" max="2049" width="13.77734375" style="353" customWidth="1"/>
    <col min="2050" max="2050" width="11.44140625" style="353"/>
    <col min="2051" max="2051" width="0" style="353" hidden="1" customWidth="1"/>
    <col min="2052" max="2053" width="11.44140625" style="353"/>
    <col min="2054" max="2054" width="12.44140625" style="353" bestFit="1" customWidth="1"/>
    <col min="2055" max="2055" width="9.21875" style="353" bestFit="1" customWidth="1"/>
    <col min="2056" max="2056" width="11" style="353" bestFit="1" customWidth="1"/>
    <col min="2057" max="2057" width="11.44140625" style="353"/>
    <col min="2058" max="2058" width="15.44140625" style="353" bestFit="1" customWidth="1"/>
    <col min="2059" max="2303" width="11.44140625" style="353"/>
    <col min="2304" max="2304" width="21.77734375" style="353" customWidth="1"/>
    <col min="2305" max="2305" width="13.77734375" style="353" customWidth="1"/>
    <col min="2306" max="2306" width="11.44140625" style="353"/>
    <col min="2307" max="2307" width="0" style="353" hidden="1" customWidth="1"/>
    <col min="2308" max="2309" width="11.44140625" style="353"/>
    <col min="2310" max="2310" width="12.44140625" style="353" bestFit="1" customWidth="1"/>
    <col min="2311" max="2311" width="9.21875" style="353" bestFit="1" customWidth="1"/>
    <col min="2312" max="2312" width="11" style="353" bestFit="1" customWidth="1"/>
    <col min="2313" max="2313" width="11.44140625" style="353"/>
    <col min="2314" max="2314" width="15.44140625" style="353" bestFit="1" customWidth="1"/>
    <col min="2315" max="2559" width="11.44140625" style="353"/>
    <col min="2560" max="2560" width="21.77734375" style="353" customWidth="1"/>
    <col min="2561" max="2561" width="13.77734375" style="353" customWidth="1"/>
    <col min="2562" max="2562" width="11.44140625" style="353"/>
    <col min="2563" max="2563" width="0" style="353" hidden="1" customWidth="1"/>
    <col min="2564" max="2565" width="11.44140625" style="353"/>
    <col min="2566" max="2566" width="12.44140625" style="353" bestFit="1" customWidth="1"/>
    <col min="2567" max="2567" width="9.21875" style="353" bestFit="1" customWidth="1"/>
    <col min="2568" max="2568" width="11" style="353" bestFit="1" customWidth="1"/>
    <col min="2569" max="2569" width="11.44140625" style="353"/>
    <col min="2570" max="2570" width="15.44140625" style="353" bestFit="1" customWidth="1"/>
    <col min="2571" max="2815" width="11.44140625" style="353"/>
    <col min="2816" max="2816" width="21.77734375" style="353" customWidth="1"/>
    <col min="2817" max="2817" width="13.77734375" style="353" customWidth="1"/>
    <col min="2818" max="2818" width="11.44140625" style="353"/>
    <col min="2819" max="2819" width="0" style="353" hidden="1" customWidth="1"/>
    <col min="2820" max="2821" width="11.44140625" style="353"/>
    <col min="2822" max="2822" width="12.44140625" style="353" bestFit="1" customWidth="1"/>
    <col min="2823" max="2823" width="9.21875" style="353" bestFit="1" customWidth="1"/>
    <col min="2824" max="2824" width="11" style="353" bestFit="1" customWidth="1"/>
    <col min="2825" max="2825" width="11.44140625" style="353"/>
    <col min="2826" max="2826" width="15.44140625" style="353" bestFit="1" customWidth="1"/>
    <col min="2827" max="3071" width="11.44140625" style="353"/>
    <col min="3072" max="3072" width="21.77734375" style="353" customWidth="1"/>
    <col min="3073" max="3073" width="13.77734375" style="353" customWidth="1"/>
    <col min="3074" max="3074" width="11.44140625" style="353"/>
    <col min="3075" max="3075" width="0" style="353" hidden="1" customWidth="1"/>
    <col min="3076" max="3077" width="11.44140625" style="353"/>
    <col min="3078" max="3078" width="12.44140625" style="353" bestFit="1" customWidth="1"/>
    <col min="3079" max="3079" width="9.21875" style="353" bestFit="1" customWidth="1"/>
    <col min="3080" max="3080" width="11" style="353" bestFit="1" customWidth="1"/>
    <col min="3081" max="3081" width="11.44140625" style="353"/>
    <col min="3082" max="3082" width="15.44140625" style="353" bestFit="1" customWidth="1"/>
    <col min="3083" max="3327" width="11.44140625" style="353"/>
    <col min="3328" max="3328" width="21.77734375" style="353" customWidth="1"/>
    <col min="3329" max="3329" width="13.77734375" style="353" customWidth="1"/>
    <col min="3330" max="3330" width="11.44140625" style="353"/>
    <col min="3331" max="3331" width="0" style="353" hidden="1" customWidth="1"/>
    <col min="3332" max="3333" width="11.44140625" style="353"/>
    <col min="3334" max="3334" width="12.44140625" style="353" bestFit="1" customWidth="1"/>
    <col min="3335" max="3335" width="9.21875" style="353" bestFit="1" customWidth="1"/>
    <col min="3336" max="3336" width="11" style="353" bestFit="1" customWidth="1"/>
    <col min="3337" max="3337" width="11.44140625" style="353"/>
    <col min="3338" max="3338" width="15.44140625" style="353" bestFit="1" customWidth="1"/>
    <col min="3339" max="3583" width="11.44140625" style="353"/>
    <col min="3584" max="3584" width="21.77734375" style="353" customWidth="1"/>
    <col min="3585" max="3585" width="13.77734375" style="353" customWidth="1"/>
    <col min="3586" max="3586" width="11.44140625" style="353"/>
    <col min="3587" max="3587" width="0" style="353" hidden="1" customWidth="1"/>
    <col min="3588" max="3589" width="11.44140625" style="353"/>
    <col min="3590" max="3590" width="12.44140625" style="353" bestFit="1" customWidth="1"/>
    <col min="3591" max="3591" width="9.21875" style="353" bestFit="1" customWidth="1"/>
    <col min="3592" max="3592" width="11" style="353" bestFit="1" customWidth="1"/>
    <col min="3593" max="3593" width="11.44140625" style="353"/>
    <col min="3594" max="3594" width="15.44140625" style="353" bestFit="1" customWidth="1"/>
    <col min="3595" max="3839" width="11.44140625" style="353"/>
    <col min="3840" max="3840" width="21.77734375" style="353" customWidth="1"/>
    <col min="3841" max="3841" width="13.77734375" style="353" customWidth="1"/>
    <col min="3842" max="3842" width="11.44140625" style="353"/>
    <col min="3843" max="3843" width="0" style="353" hidden="1" customWidth="1"/>
    <col min="3844" max="3845" width="11.44140625" style="353"/>
    <col min="3846" max="3846" width="12.44140625" style="353" bestFit="1" customWidth="1"/>
    <col min="3847" max="3847" width="9.21875" style="353" bestFit="1" customWidth="1"/>
    <col min="3848" max="3848" width="11" style="353" bestFit="1" customWidth="1"/>
    <col min="3849" max="3849" width="11.44140625" style="353"/>
    <col min="3850" max="3850" width="15.44140625" style="353" bestFit="1" customWidth="1"/>
    <col min="3851" max="4095" width="11.44140625" style="353"/>
    <col min="4096" max="4096" width="21.77734375" style="353" customWidth="1"/>
    <col min="4097" max="4097" width="13.77734375" style="353" customWidth="1"/>
    <col min="4098" max="4098" width="11.44140625" style="353"/>
    <col min="4099" max="4099" width="0" style="353" hidden="1" customWidth="1"/>
    <col min="4100" max="4101" width="11.44140625" style="353"/>
    <col min="4102" max="4102" width="12.44140625" style="353" bestFit="1" customWidth="1"/>
    <col min="4103" max="4103" width="9.21875" style="353" bestFit="1" customWidth="1"/>
    <col min="4104" max="4104" width="11" style="353" bestFit="1" customWidth="1"/>
    <col min="4105" max="4105" width="11.44140625" style="353"/>
    <col min="4106" max="4106" width="15.44140625" style="353" bestFit="1" customWidth="1"/>
    <col min="4107" max="4351" width="11.44140625" style="353"/>
    <col min="4352" max="4352" width="21.77734375" style="353" customWidth="1"/>
    <col min="4353" max="4353" width="13.77734375" style="353" customWidth="1"/>
    <col min="4354" max="4354" width="11.44140625" style="353"/>
    <col min="4355" max="4355" width="0" style="353" hidden="1" customWidth="1"/>
    <col min="4356" max="4357" width="11.44140625" style="353"/>
    <col min="4358" max="4358" width="12.44140625" style="353" bestFit="1" customWidth="1"/>
    <col min="4359" max="4359" width="9.21875" style="353" bestFit="1" customWidth="1"/>
    <col min="4360" max="4360" width="11" style="353" bestFit="1" customWidth="1"/>
    <col min="4361" max="4361" width="11.44140625" style="353"/>
    <col min="4362" max="4362" width="15.44140625" style="353" bestFit="1" customWidth="1"/>
    <col min="4363" max="4607" width="11.44140625" style="353"/>
    <col min="4608" max="4608" width="21.77734375" style="353" customWidth="1"/>
    <col min="4609" max="4609" width="13.77734375" style="353" customWidth="1"/>
    <col min="4610" max="4610" width="11.44140625" style="353"/>
    <col min="4611" max="4611" width="0" style="353" hidden="1" customWidth="1"/>
    <col min="4612" max="4613" width="11.44140625" style="353"/>
    <col min="4614" max="4614" width="12.44140625" style="353" bestFit="1" customWidth="1"/>
    <col min="4615" max="4615" width="9.21875" style="353" bestFit="1" customWidth="1"/>
    <col min="4616" max="4616" width="11" style="353" bestFit="1" customWidth="1"/>
    <col min="4617" max="4617" width="11.44140625" style="353"/>
    <col min="4618" max="4618" width="15.44140625" style="353" bestFit="1" customWidth="1"/>
    <col min="4619" max="4863" width="11.44140625" style="353"/>
    <col min="4864" max="4864" width="21.77734375" style="353" customWidth="1"/>
    <col min="4865" max="4865" width="13.77734375" style="353" customWidth="1"/>
    <col min="4866" max="4866" width="11.44140625" style="353"/>
    <col min="4867" max="4867" width="0" style="353" hidden="1" customWidth="1"/>
    <col min="4868" max="4869" width="11.44140625" style="353"/>
    <col min="4870" max="4870" width="12.44140625" style="353" bestFit="1" customWidth="1"/>
    <col min="4871" max="4871" width="9.21875" style="353" bestFit="1" customWidth="1"/>
    <col min="4872" max="4872" width="11" style="353" bestFit="1" customWidth="1"/>
    <col min="4873" max="4873" width="11.44140625" style="353"/>
    <col min="4874" max="4874" width="15.44140625" style="353" bestFit="1" customWidth="1"/>
    <col min="4875" max="5119" width="11.44140625" style="353"/>
    <col min="5120" max="5120" width="21.77734375" style="353" customWidth="1"/>
    <col min="5121" max="5121" width="13.77734375" style="353" customWidth="1"/>
    <col min="5122" max="5122" width="11.44140625" style="353"/>
    <col min="5123" max="5123" width="0" style="353" hidden="1" customWidth="1"/>
    <col min="5124" max="5125" width="11.44140625" style="353"/>
    <col min="5126" max="5126" width="12.44140625" style="353" bestFit="1" customWidth="1"/>
    <col min="5127" max="5127" width="9.21875" style="353" bestFit="1" customWidth="1"/>
    <col min="5128" max="5128" width="11" style="353" bestFit="1" customWidth="1"/>
    <col min="5129" max="5129" width="11.44140625" style="353"/>
    <col min="5130" max="5130" width="15.44140625" style="353" bestFit="1" customWidth="1"/>
    <col min="5131" max="5375" width="11.44140625" style="353"/>
    <col min="5376" max="5376" width="21.77734375" style="353" customWidth="1"/>
    <col min="5377" max="5377" width="13.77734375" style="353" customWidth="1"/>
    <col min="5378" max="5378" width="11.44140625" style="353"/>
    <col min="5379" max="5379" width="0" style="353" hidden="1" customWidth="1"/>
    <col min="5380" max="5381" width="11.44140625" style="353"/>
    <col min="5382" max="5382" width="12.44140625" style="353" bestFit="1" customWidth="1"/>
    <col min="5383" max="5383" width="9.21875" style="353" bestFit="1" customWidth="1"/>
    <col min="5384" max="5384" width="11" style="353" bestFit="1" customWidth="1"/>
    <col min="5385" max="5385" width="11.44140625" style="353"/>
    <col min="5386" max="5386" width="15.44140625" style="353" bestFit="1" customWidth="1"/>
    <col min="5387" max="5631" width="11.44140625" style="353"/>
    <col min="5632" max="5632" width="21.77734375" style="353" customWidth="1"/>
    <col min="5633" max="5633" width="13.77734375" style="353" customWidth="1"/>
    <col min="5634" max="5634" width="11.44140625" style="353"/>
    <col min="5635" max="5635" width="0" style="353" hidden="1" customWidth="1"/>
    <col min="5636" max="5637" width="11.44140625" style="353"/>
    <col min="5638" max="5638" width="12.44140625" style="353" bestFit="1" customWidth="1"/>
    <col min="5639" max="5639" width="9.21875" style="353" bestFit="1" customWidth="1"/>
    <col min="5640" max="5640" width="11" style="353" bestFit="1" customWidth="1"/>
    <col min="5641" max="5641" width="11.44140625" style="353"/>
    <col min="5642" max="5642" width="15.44140625" style="353" bestFit="1" customWidth="1"/>
    <col min="5643" max="5887" width="11.44140625" style="353"/>
    <col min="5888" max="5888" width="21.77734375" style="353" customWidth="1"/>
    <col min="5889" max="5889" width="13.77734375" style="353" customWidth="1"/>
    <col min="5890" max="5890" width="11.44140625" style="353"/>
    <col min="5891" max="5891" width="0" style="353" hidden="1" customWidth="1"/>
    <col min="5892" max="5893" width="11.44140625" style="353"/>
    <col min="5894" max="5894" width="12.44140625" style="353" bestFit="1" customWidth="1"/>
    <col min="5895" max="5895" width="9.21875" style="353" bestFit="1" customWidth="1"/>
    <col min="5896" max="5896" width="11" style="353" bestFit="1" customWidth="1"/>
    <col min="5897" max="5897" width="11.44140625" style="353"/>
    <col min="5898" max="5898" width="15.44140625" style="353" bestFit="1" customWidth="1"/>
    <col min="5899" max="6143" width="11.44140625" style="353"/>
    <col min="6144" max="6144" width="21.77734375" style="353" customWidth="1"/>
    <col min="6145" max="6145" width="13.77734375" style="353" customWidth="1"/>
    <col min="6146" max="6146" width="11.44140625" style="353"/>
    <col min="6147" max="6147" width="0" style="353" hidden="1" customWidth="1"/>
    <col min="6148" max="6149" width="11.44140625" style="353"/>
    <col min="6150" max="6150" width="12.44140625" style="353" bestFit="1" customWidth="1"/>
    <col min="6151" max="6151" width="9.21875" style="353" bestFit="1" customWidth="1"/>
    <col min="6152" max="6152" width="11" style="353" bestFit="1" customWidth="1"/>
    <col min="6153" max="6153" width="11.44140625" style="353"/>
    <col min="6154" max="6154" width="15.44140625" style="353" bestFit="1" customWidth="1"/>
    <col min="6155" max="6399" width="11.44140625" style="353"/>
    <col min="6400" max="6400" width="21.77734375" style="353" customWidth="1"/>
    <col min="6401" max="6401" width="13.77734375" style="353" customWidth="1"/>
    <col min="6402" max="6402" width="11.44140625" style="353"/>
    <col min="6403" max="6403" width="0" style="353" hidden="1" customWidth="1"/>
    <col min="6404" max="6405" width="11.44140625" style="353"/>
    <col min="6406" max="6406" width="12.44140625" style="353" bestFit="1" customWidth="1"/>
    <col min="6407" max="6407" width="9.21875" style="353" bestFit="1" customWidth="1"/>
    <col min="6408" max="6408" width="11" style="353" bestFit="1" customWidth="1"/>
    <col min="6409" max="6409" width="11.44140625" style="353"/>
    <col min="6410" max="6410" width="15.44140625" style="353" bestFit="1" customWidth="1"/>
    <col min="6411" max="6655" width="11.44140625" style="353"/>
    <col min="6656" max="6656" width="21.77734375" style="353" customWidth="1"/>
    <col min="6657" max="6657" width="13.77734375" style="353" customWidth="1"/>
    <col min="6658" max="6658" width="11.44140625" style="353"/>
    <col min="6659" max="6659" width="0" style="353" hidden="1" customWidth="1"/>
    <col min="6660" max="6661" width="11.44140625" style="353"/>
    <col min="6662" max="6662" width="12.44140625" style="353" bestFit="1" customWidth="1"/>
    <col min="6663" max="6663" width="9.21875" style="353" bestFit="1" customWidth="1"/>
    <col min="6664" max="6664" width="11" style="353" bestFit="1" customWidth="1"/>
    <col min="6665" max="6665" width="11.44140625" style="353"/>
    <col min="6666" max="6666" width="15.44140625" style="353" bestFit="1" customWidth="1"/>
    <col min="6667" max="6911" width="11.44140625" style="353"/>
    <col min="6912" max="6912" width="21.77734375" style="353" customWidth="1"/>
    <col min="6913" max="6913" width="13.77734375" style="353" customWidth="1"/>
    <col min="6914" max="6914" width="11.44140625" style="353"/>
    <col min="6915" max="6915" width="0" style="353" hidden="1" customWidth="1"/>
    <col min="6916" max="6917" width="11.44140625" style="353"/>
    <col min="6918" max="6918" width="12.44140625" style="353" bestFit="1" customWidth="1"/>
    <col min="6919" max="6919" width="9.21875" style="353" bestFit="1" customWidth="1"/>
    <col min="6920" max="6920" width="11" style="353" bestFit="1" customWidth="1"/>
    <col min="6921" max="6921" width="11.44140625" style="353"/>
    <col min="6922" max="6922" width="15.44140625" style="353" bestFit="1" customWidth="1"/>
    <col min="6923" max="7167" width="11.44140625" style="353"/>
    <col min="7168" max="7168" width="21.77734375" style="353" customWidth="1"/>
    <col min="7169" max="7169" width="13.77734375" style="353" customWidth="1"/>
    <col min="7170" max="7170" width="11.44140625" style="353"/>
    <col min="7171" max="7171" width="0" style="353" hidden="1" customWidth="1"/>
    <col min="7172" max="7173" width="11.44140625" style="353"/>
    <col min="7174" max="7174" width="12.44140625" style="353" bestFit="1" customWidth="1"/>
    <col min="7175" max="7175" width="9.21875" style="353" bestFit="1" customWidth="1"/>
    <col min="7176" max="7176" width="11" style="353" bestFit="1" customWidth="1"/>
    <col min="7177" max="7177" width="11.44140625" style="353"/>
    <col min="7178" max="7178" width="15.44140625" style="353" bestFit="1" customWidth="1"/>
    <col min="7179" max="7423" width="11.44140625" style="353"/>
    <col min="7424" max="7424" width="21.77734375" style="353" customWidth="1"/>
    <col min="7425" max="7425" width="13.77734375" style="353" customWidth="1"/>
    <col min="7426" max="7426" width="11.44140625" style="353"/>
    <col min="7427" max="7427" width="0" style="353" hidden="1" customWidth="1"/>
    <col min="7428" max="7429" width="11.44140625" style="353"/>
    <col min="7430" max="7430" width="12.44140625" style="353" bestFit="1" customWidth="1"/>
    <col min="7431" max="7431" width="9.21875" style="353" bestFit="1" customWidth="1"/>
    <col min="7432" max="7432" width="11" style="353" bestFit="1" customWidth="1"/>
    <col min="7433" max="7433" width="11.44140625" style="353"/>
    <col min="7434" max="7434" width="15.44140625" style="353" bestFit="1" customWidth="1"/>
    <col min="7435" max="7679" width="11.44140625" style="353"/>
    <col min="7680" max="7680" width="21.77734375" style="353" customWidth="1"/>
    <col min="7681" max="7681" width="13.77734375" style="353" customWidth="1"/>
    <col min="7682" max="7682" width="11.44140625" style="353"/>
    <col min="7683" max="7683" width="0" style="353" hidden="1" customWidth="1"/>
    <col min="7684" max="7685" width="11.44140625" style="353"/>
    <col min="7686" max="7686" width="12.44140625" style="353" bestFit="1" customWidth="1"/>
    <col min="7687" max="7687" width="9.21875" style="353" bestFit="1" customWidth="1"/>
    <col min="7688" max="7688" width="11" style="353" bestFit="1" customWidth="1"/>
    <col min="7689" max="7689" width="11.44140625" style="353"/>
    <col min="7690" max="7690" width="15.44140625" style="353" bestFit="1" customWidth="1"/>
    <col min="7691" max="7935" width="11.44140625" style="353"/>
    <col min="7936" max="7936" width="21.77734375" style="353" customWidth="1"/>
    <col min="7937" max="7937" width="13.77734375" style="353" customWidth="1"/>
    <col min="7938" max="7938" width="11.44140625" style="353"/>
    <col min="7939" max="7939" width="0" style="353" hidden="1" customWidth="1"/>
    <col min="7940" max="7941" width="11.44140625" style="353"/>
    <col min="7942" max="7942" width="12.44140625" style="353" bestFit="1" customWidth="1"/>
    <col min="7943" max="7943" width="9.21875" style="353" bestFit="1" customWidth="1"/>
    <col min="7944" max="7944" width="11" style="353" bestFit="1" customWidth="1"/>
    <col min="7945" max="7945" width="11.44140625" style="353"/>
    <col min="7946" max="7946" width="15.44140625" style="353" bestFit="1" customWidth="1"/>
    <col min="7947" max="8191" width="11.44140625" style="353"/>
    <col min="8192" max="8192" width="21.77734375" style="353" customWidth="1"/>
    <col min="8193" max="8193" width="13.77734375" style="353" customWidth="1"/>
    <col min="8194" max="8194" width="11.44140625" style="353"/>
    <col min="8195" max="8195" width="0" style="353" hidden="1" customWidth="1"/>
    <col min="8196" max="8197" width="11.44140625" style="353"/>
    <col min="8198" max="8198" width="12.44140625" style="353" bestFit="1" customWidth="1"/>
    <col min="8199" max="8199" width="9.21875" style="353" bestFit="1" customWidth="1"/>
    <col min="8200" max="8200" width="11" style="353" bestFit="1" customWidth="1"/>
    <col min="8201" max="8201" width="11.44140625" style="353"/>
    <col min="8202" max="8202" width="15.44140625" style="353" bestFit="1" customWidth="1"/>
    <col min="8203" max="8447" width="11.44140625" style="353"/>
    <col min="8448" max="8448" width="21.77734375" style="353" customWidth="1"/>
    <col min="8449" max="8449" width="13.77734375" style="353" customWidth="1"/>
    <col min="8450" max="8450" width="11.44140625" style="353"/>
    <col min="8451" max="8451" width="0" style="353" hidden="1" customWidth="1"/>
    <col min="8452" max="8453" width="11.44140625" style="353"/>
    <col min="8454" max="8454" width="12.44140625" style="353" bestFit="1" customWidth="1"/>
    <col min="8455" max="8455" width="9.21875" style="353" bestFit="1" customWidth="1"/>
    <col min="8456" max="8456" width="11" style="353" bestFit="1" customWidth="1"/>
    <col min="8457" max="8457" width="11.44140625" style="353"/>
    <col min="8458" max="8458" width="15.44140625" style="353" bestFit="1" customWidth="1"/>
    <col min="8459" max="8703" width="11.44140625" style="353"/>
    <col min="8704" max="8704" width="21.77734375" style="353" customWidth="1"/>
    <col min="8705" max="8705" width="13.77734375" style="353" customWidth="1"/>
    <col min="8706" max="8706" width="11.44140625" style="353"/>
    <col min="8707" max="8707" width="0" style="353" hidden="1" customWidth="1"/>
    <col min="8708" max="8709" width="11.44140625" style="353"/>
    <col min="8710" max="8710" width="12.44140625" style="353" bestFit="1" customWidth="1"/>
    <col min="8711" max="8711" width="9.21875" style="353" bestFit="1" customWidth="1"/>
    <col min="8712" max="8712" width="11" style="353" bestFit="1" customWidth="1"/>
    <col min="8713" max="8713" width="11.44140625" style="353"/>
    <col min="8714" max="8714" width="15.44140625" style="353" bestFit="1" customWidth="1"/>
    <col min="8715" max="8959" width="11.44140625" style="353"/>
    <col min="8960" max="8960" width="21.77734375" style="353" customWidth="1"/>
    <col min="8961" max="8961" width="13.77734375" style="353" customWidth="1"/>
    <col min="8962" max="8962" width="11.44140625" style="353"/>
    <col min="8963" max="8963" width="0" style="353" hidden="1" customWidth="1"/>
    <col min="8964" max="8965" width="11.44140625" style="353"/>
    <col min="8966" max="8966" width="12.44140625" style="353" bestFit="1" customWidth="1"/>
    <col min="8967" max="8967" width="9.21875" style="353" bestFit="1" customWidth="1"/>
    <col min="8968" max="8968" width="11" style="353" bestFit="1" customWidth="1"/>
    <col min="8969" max="8969" width="11.44140625" style="353"/>
    <col min="8970" max="8970" width="15.44140625" style="353" bestFit="1" customWidth="1"/>
    <col min="8971" max="9215" width="11.44140625" style="353"/>
    <col min="9216" max="9216" width="21.77734375" style="353" customWidth="1"/>
    <col min="9217" max="9217" width="13.77734375" style="353" customWidth="1"/>
    <col min="9218" max="9218" width="11.44140625" style="353"/>
    <col min="9219" max="9219" width="0" style="353" hidden="1" customWidth="1"/>
    <col min="9220" max="9221" width="11.44140625" style="353"/>
    <col min="9222" max="9222" width="12.44140625" style="353" bestFit="1" customWidth="1"/>
    <col min="9223" max="9223" width="9.21875" style="353" bestFit="1" customWidth="1"/>
    <col min="9224" max="9224" width="11" style="353" bestFit="1" customWidth="1"/>
    <col min="9225" max="9225" width="11.44140625" style="353"/>
    <col min="9226" max="9226" width="15.44140625" style="353" bestFit="1" customWidth="1"/>
    <col min="9227" max="9471" width="11.44140625" style="353"/>
    <col min="9472" max="9472" width="21.77734375" style="353" customWidth="1"/>
    <col min="9473" max="9473" width="13.77734375" style="353" customWidth="1"/>
    <col min="9474" max="9474" width="11.44140625" style="353"/>
    <col min="9475" max="9475" width="0" style="353" hidden="1" customWidth="1"/>
    <col min="9476" max="9477" width="11.44140625" style="353"/>
    <col min="9478" max="9478" width="12.44140625" style="353" bestFit="1" customWidth="1"/>
    <col min="9479" max="9479" width="9.21875" style="353" bestFit="1" customWidth="1"/>
    <col min="9480" max="9480" width="11" style="353" bestFit="1" customWidth="1"/>
    <col min="9481" max="9481" width="11.44140625" style="353"/>
    <col min="9482" max="9482" width="15.44140625" style="353" bestFit="1" customWidth="1"/>
    <col min="9483" max="9727" width="11.44140625" style="353"/>
    <col min="9728" max="9728" width="21.77734375" style="353" customWidth="1"/>
    <col min="9729" max="9729" width="13.77734375" style="353" customWidth="1"/>
    <col min="9730" max="9730" width="11.44140625" style="353"/>
    <col min="9731" max="9731" width="0" style="353" hidden="1" customWidth="1"/>
    <col min="9732" max="9733" width="11.44140625" style="353"/>
    <col min="9734" max="9734" width="12.44140625" style="353" bestFit="1" customWidth="1"/>
    <col min="9735" max="9735" width="9.21875" style="353" bestFit="1" customWidth="1"/>
    <col min="9736" max="9736" width="11" style="353" bestFit="1" customWidth="1"/>
    <col min="9737" max="9737" width="11.44140625" style="353"/>
    <col min="9738" max="9738" width="15.44140625" style="353" bestFit="1" customWidth="1"/>
    <col min="9739" max="9983" width="11.44140625" style="353"/>
    <col min="9984" max="9984" width="21.77734375" style="353" customWidth="1"/>
    <col min="9985" max="9985" width="13.77734375" style="353" customWidth="1"/>
    <col min="9986" max="9986" width="11.44140625" style="353"/>
    <col min="9987" max="9987" width="0" style="353" hidden="1" customWidth="1"/>
    <col min="9988" max="9989" width="11.44140625" style="353"/>
    <col min="9990" max="9990" width="12.44140625" style="353" bestFit="1" customWidth="1"/>
    <col min="9991" max="9991" width="9.21875" style="353" bestFit="1" customWidth="1"/>
    <col min="9992" max="9992" width="11" style="353" bestFit="1" customWidth="1"/>
    <col min="9993" max="9993" width="11.44140625" style="353"/>
    <col min="9994" max="9994" width="15.44140625" style="353" bestFit="1" customWidth="1"/>
    <col min="9995" max="10239" width="11.44140625" style="353"/>
    <col min="10240" max="10240" width="21.77734375" style="353" customWidth="1"/>
    <col min="10241" max="10241" width="13.77734375" style="353" customWidth="1"/>
    <col min="10242" max="10242" width="11.44140625" style="353"/>
    <col min="10243" max="10243" width="0" style="353" hidden="1" customWidth="1"/>
    <col min="10244" max="10245" width="11.44140625" style="353"/>
    <col min="10246" max="10246" width="12.44140625" style="353" bestFit="1" customWidth="1"/>
    <col min="10247" max="10247" width="9.21875" style="353" bestFit="1" customWidth="1"/>
    <col min="10248" max="10248" width="11" style="353" bestFit="1" customWidth="1"/>
    <col min="10249" max="10249" width="11.44140625" style="353"/>
    <col min="10250" max="10250" width="15.44140625" style="353" bestFit="1" customWidth="1"/>
    <col min="10251" max="10495" width="11.44140625" style="353"/>
    <col min="10496" max="10496" width="21.77734375" style="353" customWidth="1"/>
    <col min="10497" max="10497" width="13.77734375" style="353" customWidth="1"/>
    <col min="10498" max="10498" width="11.44140625" style="353"/>
    <col min="10499" max="10499" width="0" style="353" hidden="1" customWidth="1"/>
    <col min="10500" max="10501" width="11.44140625" style="353"/>
    <col min="10502" max="10502" width="12.44140625" style="353" bestFit="1" customWidth="1"/>
    <col min="10503" max="10503" width="9.21875" style="353" bestFit="1" customWidth="1"/>
    <col min="10504" max="10504" width="11" style="353" bestFit="1" customWidth="1"/>
    <col min="10505" max="10505" width="11.44140625" style="353"/>
    <col min="10506" max="10506" width="15.44140625" style="353" bestFit="1" customWidth="1"/>
    <col min="10507" max="10751" width="11.44140625" style="353"/>
    <col min="10752" max="10752" width="21.77734375" style="353" customWidth="1"/>
    <col min="10753" max="10753" width="13.77734375" style="353" customWidth="1"/>
    <col min="10754" max="10754" width="11.44140625" style="353"/>
    <col min="10755" max="10755" width="0" style="353" hidden="1" customWidth="1"/>
    <col min="10756" max="10757" width="11.44140625" style="353"/>
    <col min="10758" max="10758" width="12.44140625" style="353" bestFit="1" customWidth="1"/>
    <col min="10759" max="10759" width="9.21875" style="353" bestFit="1" customWidth="1"/>
    <col min="10760" max="10760" width="11" style="353" bestFit="1" customWidth="1"/>
    <col min="10761" max="10761" width="11.44140625" style="353"/>
    <col min="10762" max="10762" width="15.44140625" style="353" bestFit="1" customWidth="1"/>
    <col min="10763" max="11007" width="11.44140625" style="353"/>
    <col min="11008" max="11008" width="21.77734375" style="353" customWidth="1"/>
    <col min="11009" max="11009" width="13.77734375" style="353" customWidth="1"/>
    <col min="11010" max="11010" width="11.44140625" style="353"/>
    <col min="11011" max="11011" width="0" style="353" hidden="1" customWidth="1"/>
    <col min="11012" max="11013" width="11.44140625" style="353"/>
    <col min="11014" max="11014" width="12.44140625" style="353" bestFit="1" customWidth="1"/>
    <col min="11015" max="11015" width="9.21875" style="353" bestFit="1" customWidth="1"/>
    <col min="11016" max="11016" width="11" style="353" bestFit="1" customWidth="1"/>
    <col min="11017" max="11017" width="11.44140625" style="353"/>
    <col min="11018" max="11018" width="15.44140625" style="353" bestFit="1" customWidth="1"/>
    <col min="11019" max="11263" width="11.44140625" style="353"/>
    <col min="11264" max="11264" width="21.77734375" style="353" customWidth="1"/>
    <col min="11265" max="11265" width="13.77734375" style="353" customWidth="1"/>
    <col min="11266" max="11266" width="11.44140625" style="353"/>
    <col min="11267" max="11267" width="0" style="353" hidden="1" customWidth="1"/>
    <col min="11268" max="11269" width="11.44140625" style="353"/>
    <col min="11270" max="11270" width="12.44140625" style="353" bestFit="1" customWidth="1"/>
    <col min="11271" max="11271" width="9.21875" style="353" bestFit="1" customWidth="1"/>
    <col min="11272" max="11272" width="11" style="353" bestFit="1" customWidth="1"/>
    <col min="11273" max="11273" width="11.44140625" style="353"/>
    <col min="11274" max="11274" width="15.44140625" style="353" bestFit="1" customWidth="1"/>
    <col min="11275" max="11519" width="11.44140625" style="353"/>
    <col min="11520" max="11520" width="21.77734375" style="353" customWidth="1"/>
    <col min="11521" max="11521" width="13.77734375" style="353" customWidth="1"/>
    <col min="11522" max="11522" width="11.44140625" style="353"/>
    <col min="11523" max="11523" width="0" style="353" hidden="1" customWidth="1"/>
    <col min="11524" max="11525" width="11.44140625" style="353"/>
    <col min="11526" max="11526" width="12.44140625" style="353" bestFit="1" customWidth="1"/>
    <col min="11527" max="11527" width="9.21875" style="353" bestFit="1" customWidth="1"/>
    <col min="11528" max="11528" width="11" style="353" bestFit="1" customWidth="1"/>
    <col min="11529" max="11529" width="11.44140625" style="353"/>
    <col min="11530" max="11530" width="15.44140625" style="353" bestFit="1" customWidth="1"/>
    <col min="11531" max="11775" width="11.44140625" style="353"/>
    <col min="11776" max="11776" width="21.77734375" style="353" customWidth="1"/>
    <col min="11777" max="11777" width="13.77734375" style="353" customWidth="1"/>
    <col min="11778" max="11778" width="11.44140625" style="353"/>
    <col min="11779" max="11779" width="0" style="353" hidden="1" customWidth="1"/>
    <col min="11780" max="11781" width="11.44140625" style="353"/>
    <col min="11782" max="11782" width="12.44140625" style="353" bestFit="1" customWidth="1"/>
    <col min="11783" max="11783" width="9.21875" style="353" bestFit="1" customWidth="1"/>
    <col min="11784" max="11784" width="11" style="353" bestFit="1" customWidth="1"/>
    <col min="11785" max="11785" width="11.44140625" style="353"/>
    <col min="11786" max="11786" width="15.44140625" style="353" bestFit="1" customWidth="1"/>
    <col min="11787" max="12031" width="11.44140625" style="353"/>
    <col min="12032" max="12032" width="21.77734375" style="353" customWidth="1"/>
    <col min="12033" max="12033" width="13.77734375" style="353" customWidth="1"/>
    <col min="12034" max="12034" width="11.44140625" style="353"/>
    <col min="12035" max="12035" width="0" style="353" hidden="1" customWidth="1"/>
    <col min="12036" max="12037" width="11.44140625" style="353"/>
    <col min="12038" max="12038" width="12.44140625" style="353" bestFit="1" customWidth="1"/>
    <col min="12039" max="12039" width="9.21875" style="353" bestFit="1" customWidth="1"/>
    <col min="12040" max="12040" width="11" style="353" bestFit="1" customWidth="1"/>
    <col min="12041" max="12041" width="11.44140625" style="353"/>
    <col min="12042" max="12042" width="15.44140625" style="353" bestFit="1" customWidth="1"/>
    <col min="12043" max="12287" width="11.44140625" style="353"/>
    <col min="12288" max="12288" width="21.77734375" style="353" customWidth="1"/>
    <col min="12289" max="12289" width="13.77734375" style="353" customWidth="1"/>
    <col min="12290" max="12290" width="11.44140625" style="353"/>
    <col min="12291" max="12291" width="0" style="353" hidden="1" customWidth="1"/>
    <col min="12292" max="12293" width="11.44140625" style="353"/>
    <col min="12294" max="12294" width="12.44140625" style="353" bestFit="1" customWidth="1"/>
    <col min="12295" max="12295" width="9.21875" style="353" bestFit="1" customWidth="1"/>
    <col min="12296" max="12296" width="11" style="353" bestFit="1" customWidth="1"/>
    <col min="12297" max="12297" width="11.44140625" style="353"/>
    <col min="12298" max="12298" width="15.44140625" style="353" bestFit="1" customWidth="1"/>
    <col min="12299" max="12543" width="11.44140625" style="353"/>
    <col min="12544" max="12544" width="21.77734375" style="353" customWidth="1"/>
    <col min="12545" max="12545" width="13.77734375" style="353" customWidth="1"/>
    <col min="12546" max="12546" width="11.44140625" style="353"/>
    <col min="12547" max="12547" width="0" style="353" hidden="1" customWidth="1"/>
    <col min="12548" max="12549" width="11.44140625" style="353"/>
    <col min="12550" max="12550" width="12.44140625" style="353" bestFit="1" customWidth="1"/>
    <col min="12551" max="12551" width="9.21875" style="353" bestFit="1" customWidth="1"/>
    <col min="12552" max="12552" width="11" style="353" bestFit="1" customWidth="1"/>
    <col min="12553" max="12553" width="11.44140625" style="353"/>
    <col min="12554" max="12554" width="15.44140625" style="353" bestFit="1" customWidth="1"/>
    <col min="12555" max="12799" width="11.44140625" style="353"/>
    <col min="12800" max="12800" width="21.77734375" style="353" customWidth="1"/>
    <col min="12801" max="12801" width="13.77734375" style="353" customWidth="1"/>
    <col min="12802" max="12802" width="11.44140625" style="353"/>
    <col min="12803" max="12803" width="0" style="353" hidden="1" customWidth="1"/>
    <col min="12804" max="12805" width="11.44140625" style="353"/>
    <col min="12806" max="12806" width="12.44140625" style="353" bestFit="1" customWidth="1"/>
    <col min="12807" max="12807" width="9.21875" style="353" bestFit="1" customWidth="1"/>
    <col min="12808" max="12808" width="11" style="353" bestFit="1" customWidth="1"/>
    <col min="12809" max="12809" width="11.44140625" style="353"/>
    <col min="12810" max="12810" width="15.44140625" style="353" bestFit="1" customWidth="1"/>
    <col min="12811" max="13055" width="11.44140625" style="353"/>
    <col min="13056" max="13056" width="21.77734375" style="353" customWidth="1"/>
    <col min="13057" max="13057" width="13.77734375" style="353" customWidth="1"/>
    <col min="13058" max="13058" width="11.44140625" style="353"/>
    <col min="13059" max="13059" width="0" style="353" hidden="1" customWidth="1"/>
    <col min="13060" max="13061" width="11.44140625" style="353"/>
    <col min="13062" max="13062" width="12.44140625" style="353" bestFit="1" customWidth="1"/>
    <col min="13063" max="13063" width="9.21875" style="353" bestFit="1" customWidth="1"/>
    <col min="13064" max="13064" width="11" style="353" bestFit="1" customWidth="1"/>
    <col min="13065" max="13065" width="11.44140625" style="353"/>
    <col min="13066" max="13066" width="15.44140625" style="353" bestFit="1" customWidth="1"/>
    <col min="13067" max="13311" width="11.44140625" style="353"/>
    <col min="13312" max="13312" width="21.77734375" style="353" customWidth="1"/>
    <col min="13313" max="13313" width="13.77734375" style="353" customWidth="1"/>
    <col min="13314" max="13314" width="11.44140625" style="353"/>
    <col min="13315" max="13315" width="0" style="353" hidden="1" customWidth="1"/>
    <col min="13316" max="13317" width="11.44140625" style="353"/>
    <col min="13318" max="13318" width="12.44140625" style="353" bestFit="1" customWidth="1"/>
    <col min="13319" max="13319" width="9.21875" style="353" bestFit="1" customWidth="1"/>
    <col min="13320" max="13320" width="11" style="353" bestFit="1" customWidth="1"/>
    <col min="13321" max="13321" width="11.44140625" style="353"/>
    <col min="13322" max="13322" width="15.44140625" style="353" bestFit="1" customWidth="1"/>
    <col min="13323" max="13567" width="11.44140625" style="353"/>
    <col min="13568" max="13568" width="21.77734375" style="353" customWidth="1"/>
    <col min="13569" max="13569" width="13.77734375" style="353" customWidth="1"/>
    <col min="13570" max="13570" width="11.44140625" style="353"/>
    <col min="13571" max="13571" width="0" style="353" hidden="1" customWidth="1"/>
    <col min="13572" max="13573" width="11.44140625" style="353"/>
    <col min="13574" max="13574" width="12.44140625" style="353" bestFit="1" customWidth="1"/>
    <col min="13575" max="13575" width="9.21875" style="353" bestFit="1" customWidth="1"/>
    <col min="13576" max="13576" width="11" style="353" bestFit="1" customWidth="1"/>
    <col min="13577" max="13577" width="11.44140625" style="353"/>
    <col min="13578" max="13578" width="15.44140625" style="353" bestFit="1" customWidth="1"/>
    <col min="13579" max="13823" width="11.44140625" style="353"/>
    <col min="13824" max="13824" width="21.77734375" style="353" customWidth="1"/>
    <col min="13825" max="13825" width="13.77734375" style="353" customWidth="1"/>
    <col min="13826" max="13826" width="11.44140625" style="353"/>
    <col min="13827" max="13827" width="0" style="353" hidden="1" customWidth="1"/>
    <col min="13828" max="13829" width="11.44140625" style="353"/>
    <col min="13830" max="13830" width="12.44140625" style="353" bestFit="1" customWidth="1"/>
    <col min="13831" max="13831" width="9.21875" style="353" bestFit="1" customWidth="1"/>
    <col min="13832" max="13832" width="11" style="353" bestFit="1" customWidth="1"/>
    <col min="13833" max="13833" width="11.44140625" style="353"/>
    <col min="13834" max="13834" width="15.44140625" style="353" bestFit="1" customWidth="1"/>
    <col min="13835" max="14079" width="11.44140625" style="353"/>
    <col min="14080" max="14080" width="21.77734375" style="353" customWidth="1"/>
    <col min="14081" max="14081" width="13.77734375" style="353" customWidth="1"/>
    <col min="14082" max="14082" width="11.44140625" style="353"/>
    <col min="14083" max="14083" width="0" style="353" hidden="1" customWidth="1"/>
    <col min="14084" max="14085" width="11.44140625" style="353"/>
    <col min="14086" max="14086" width="12.44140625" style="353" bestFit="1" customWidth="1"/>
    <col min="14087" max="14087" width="9.21875" style="353" bestFit="1" customWidth="1"/>
    <col min="14088" max="14088" width="11" style="353" bestFit="1" customWidth="1"/>
    <col min="14089" max="14089" width="11.44140625" style="353"/>
    <col min="14090" max="14090" width="15.44140625" style="353" bestFit="1" customWidth="1"/>
    <col min="14091" max="14335" width="11.44140625" style="353"/>
    <col min="14336" max="14336" width="21.77734375" style="353" customWidth="1"/>
    <col min="14337" max="14337" width="13.77734375" style="353" customWidth="1"/>
    <col min="14338" max="14338" width="11.44140625" style="353"/>
    <col min="14339" max="14339" width="0" style="353" hidden="1" customWidth="1"/>
    <col min="14340" max="14341" width="11.44140625" style="353"/>
    <col min="14342" max="14342" width="12.44140625" style="353" bestFit="1" customWidth="1"/>
    <col min="14343" max="14343" width="9.21875" style="353" bestFit="1" customWidth="1"/>
    <col min="14344" max="14344" width="11" style="353" bestFit="1" customWidth="1"/>
    <col min="14345" max="14345" width="11.44140625" style="353"/>
    <col min="14346" max="14346" width="15.44140625" style="353" bestFit="1" customWidth="1"/>
    <col min="14347" max="14591" width="11.44140625" style="353"/>
    <col min="14592" max="14592" width="21.77734375" style="353" customWidth="1"/>
    <col min="14593" max="14593" width="13.77734375" style="353" customWidth="1"/>
    <col min="14594" max="14594" width="11.44140625" style="353"/>
    <col min="14595" max="14595" width="0" style="353" hidden="1" customWidth="1"/>
    <col min="14596" max="14597" width="11.44140625" style="353"/>
    <col min="14598" max="14598" width="12.44140625" style="353" bestFit="1" customWidth="1"/>
    <col min="14599" max="14599" width="9.21875" style="353" bestFit="1" customWidth="1"/>
    <col min="14600" max="14600" width="11" style="353" bestFit="1" customWidth="1"/>
    <col min="14601" max="14601" width="11.44140625" style="353"/>
    <col min="14602" max="14602" width="15.44140625" style="353" bestFit="1" customWidth="1"/>
    <col min="14603" max="14847" width="11.44140625" style="353"/>
    <col min="14848" max="14848" width="21.77734375" style="353" customWidth="1"/>
    <col min="14849" max="14849" width="13.77734375" style="353" customWidth="1"/>
    <col min="14850" max="14850" width="11.44140625" style="353"/>
    <col min="14851" max="14851" width="0" style="353" hidden="1" customWidth="1"/>
    <col min="14852" max="14853" width="11.44140625" style="353"/>
    <col min="14854" max="14854" width="12.44140625" style="353" bestFit="1" customWidth="1"/>
    <col min="14855" max="14855" width="9.21875" style="353" bestFit="1" customWidth="1"/>
    <col min="14856" max="14856" width="11" style="353" bestFit="1" customWidth="1"/>
    <col min="14857" max="14857" width="11.44140625" style="353"/>
    <col min="14858" max="14858" width="15.44140625" style="353" bestFit="1" customWidth="1"/>
    <col min="14859" max="15103" width="11.44140625" style="353"/>
    <col min="15104" max="15104" width="21.77734375" style="353" customWidth="1"/>
    <col min="15105" max="15105" width="13.77734375" style="353" customWidth="1"/>
    <col min="15106" max="15106" width="11.44140625" style="353"/>
    <col min="15107" max="15107" width="0" style="353" hidden="1" customWidth="1"/>
    <col min="15108" max="15109" width="11.44140625" style="353"/>
    <col min="15110" max="15110" width="12.44140625" style="353" bestFit="1" customWidth="1"/>
    <col min="15111" max="15111" width="9.21875" style="353" bestFit="1" customWidth="1"/>
    <col min="15112" max="15112" width="11" style="353" bestFit="1" customWidth="1"/>
    <col min="15113" max="15113" width="11.44140625" style="353"/>
    <col min="15114" max="15114" width="15.44140625" style="353" bestFit="1" customWidth="1"/>
    <col min="15115" max="15359" width="11.44140625" style="353"/>
    <col min="15360" max="15360" width="21.77734375" style="353" customWidth="1"/>
    <col min="15361" max="15361" width="13.77734375" style="353" customWidth="1"/>
    <col min="15362" max="15362" width="11.44140625" style="353"/>
    <col min="15363" max="15363" width="0" style="353" hidden="1" customWidth="1"/>
    <col min="15364" max="15365" width="11.44140625" style="353"/>
    <col min="15366" max="15366" width="12.44140625" style="353" bestFit="1" customWidth="1"/>
    <col min="15367" max="15367" width="9.21875" style="353" bestFit="1" customWidth="1"/>
    <col min="15368" max="15368" width="11" style="353" bestFit="1" customWidth="1"/>
    <col min="15369" max="15369" width="11.44140625" style="353"/>
    <col min="15370" max="15370" width="15.44140625" style="353" bestFit="1" customWidth="1"/>
    <col min="15371" max="15615" width="11.44140625" style="353"/>
    <col min="15616" max="15616" width="21.77734375" style="353" customWidth="1"/>
    <col min="15617" max="15617" width="13.77734375" style="353" customWidth="1"/>
    <col min="15618" max="15618" width="11.44140625" style="353"/>
    <col min="15619" max="15619" width="0" style="353" hidden="1" customWidth="1"/>
    <col min="15620" max="15621" width="11.44140625" style="353"/>
    <col min="15622" max="15622" width="12.44140625" style="353" bestFit="1" customWidth="1"/>
    <col min="15623" max="15623" width="9.21875" style="353" bestFit="1" customWidth="1"/>
    <col min="15624" max="15624" width="11" style="353" bestFit="1" customWidth="1"/>
    <col min="15625" max="15625" width="11.44140625" style="353"/>
    <col min="15626" max="15626" width="15.44140625" style="353" bestFit="1" customWidth="1"/>
    <col min="15627" max="15871" width="11.44140625" style="353"/>
    <col min="15872" max="15872" width="21.77734375" style="353" customWidth="1"/>
    <col min="15873" max="15873" width="13.77734375" style="353" customWidth="1"/>
    <col min="15874" max="15874" width="11.44140625" style="353"/>
    <col min="15875" max="15875" width="0" style="353" hidden="1" customWidth="1"/>
    <col min="15876" max="15877" width="11.44140625" style="353"/>
    <col min="15878" max="15878" width="12.44140625" style="353" bestFit="1" customWidth="1"/>
    <col min="15879" max="15879" width="9.21875" style="353" bestFit="1" customWidth="1"/>
    <col min="15880" max="15880" width="11" style="353" bestFit="1" customWidth="1"/>
    <col min="15881" max="15881" width="11.44140625" style="353"/>
    <col min="15882" max="15882" width="15.44140625" style="353" bestFit="1" customWidth="1"/>
    <col min="15883" max="16127" width="11.44140625" style="353"/>
    <col min="16128" max="16128" width="21.77734375" style="353" customWidth="1"/>
    <col min="16129" max="16129" width="13.77734375" style="353" customWidth="1"/>
    <col min="16130" max="16130" width="11.44140625" style="353"/>
    <col min="16131" max="16131" width="0" style="353" hidden="1" customWidth="1"/>
    <col min="16132" max="16133" width="11.44140625" style="353"/>
    <col min="16134" max="16134" width="12.44140625" style="353" bestFit="1" customWidth="1"/>
    <col min="16135" max="16135" width="9.21875" style="353" bestFit="1" customWidth="1"/>
    <col min="16136" max="16136" width="11" style="353" bestFit="1" customWidth="1"/>
    <col min="16137" max="16137" width="11.44140625" style="353"/>
    <col min="16138" max="16138" width="15.44140625" style="353" bestFit="1" customWidth="1"/>
    <col min="16139" max="16383" width="11.44140625" style="353"/>
    <col min="16384" max="16384" width="11.44140625" style="353" customWidth="1"/>
  </cols>
  <sheetData>
    <row r="1" spans="1:12" ht="16.2" thickBot="1" x14ac:dyDescent="0.4">
      <c r="A1" s="372"/>
      <c r="B1" s="373">
        <v>2021</v>
      </c>
      <c r="C1" s="373">
        <v>2022</v>
      </c>
      <c r="D1" s="373">
        <v>2023</v>
      </c>
      <c r="E1" s="373">
        <v>2024</v>
      </c>
      <c r="F1" s="373">
        <v>2025</v>
      </c>
      <c r="G1" s="374" t="s">
        <v>94</v>
      </c>
    </row>
    <row r="2" spans="1:12" x14ac:dyDescent="0.35">
      <c r="A2" s="375" t="s">
        <v>90</v>
      </c>
      <c r="B2" s="376">
        <v>32</v>
      </c>
      <c r="C2" s="376">
        <v>15</v>
      </c>
      <c r="D2" s="376">
        <f>BEaH23!M12</f>
        <v>24</v>
      </c>
      <c r="E2" s="376">
        <f>BEaH24!R13+BEaH24!S13</f>
        <v>24</v>
      </c>
      <c r="F2" s="377">
        <f>BEaH25!R13+BEaH25!S13</f>
        <v>22</v>
      </c>
      <c r="G2" s="377">
        <f>SUM(B2:F2)/5</f>
        <v>23.4</v>
      </c>
      <c r="H2" s="378"/>
    </row>
    <row r="3" spans="1:12" x14ac:dyDescent="0.35">
      <c r="A3" s="379" t="s">
        <v>100</v>
      </c>
      <c r="B3" s="380">
        <v>54</v>
      </c>
      <c r="C3" s="380">
        <v>31</v>
      </c>
      <c r="D3" s="380">
        <f>BEaH23!T12</f>
        <v>38</v>
      </c>
      <c r="E3" s="380">
        <f>BEaH24!AE13+BEaH24!AF13</f>
        <v>32</v>
      </c>
      <c r="F3" s="380">
        <f>BEaH25!AE13+BEaH25!AF13</f>
        <v>26</v>
      </c>
      <c r="G3" s="381">
        <f>SUM(B3:F3)/5</f>
        <v>36.200000000000003</v>
      </c>
    </row>
    <row r="4" spans="1:12" ht="16.2" thickBot="1" x14ac:dyDescent="0.4">
      <c r="A4" s="382" t="s">
        <v>91</v>
      </c>
      <c r="B4" s="383">
        <v>28</v>
      </c>
      <c r="C4" s="383">
        <v>11</v>
      </c>
      <c r="D4" s="383">
        <f>BEaH23!AA12</f>
        <v>11</v>
      </c>
      <c r="E4" s="383">
        <f>BEaH24!AM13</f>
        <v>11</v>
      </c>
      <c r="F4" s="383">
        <f>BEaH25!AM13</f>
        <v>7</v>
      </c>
      <c r="G4" s="384">
        <f t="shared" ref="G4" si="0">SUM(B4:F4)/5</f>
        <v>13.6</v>
      </c>
    </row>
    <row r="5" spans="1:12" x14ac:dyDescent="0.35">
      <c r="A5" s="385"/>
      <c r="B5" s="371"/>
      <c r="C5" s="371"/>
      <c r="D5" s="371"/>
      <c r="E5" s="371"/>
      <c r="F5" s="371"/>
      <c r="G5" s="371"/>
      <c r="H5" s="371"/>
      <c r="I5" s="371"/>
    </row>
    <row r="12" spans="1:12" x14ac:dyDescent="0.35">
      <c r="L12" s="371"/>
    </row>
    <row r="15" spans="1:12" x14ac:dyDescent="0.35">
      <c r="K15" s="371"/>
    </row>
    <row r="20" spans="10:10" x14ac:dyDescent="0.35">
      <c r="J20" s="386"/>
    </row>
    <row r="24" spans="10:10" x14ac:dyDescent="0.35">
      <c r="J24" s="371"/>
    </row>
  </sheetData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9">
    <pageSetUpPr fitToPage="1"/>
  </sheetPr>
  <dimension ref="A1:U13"/>
  <sheetViews>
    <sheetView showGridLines="0" topLeftCell="A2" zoomScale="115" zoomScaleNormal="115" workbookViewId="0">
      <selection activeCell="B24" sqref="B24"/>
    </sheetView>
  </sheetViews>
  <sheetFormatPr baseColWidth="10" defaultColWidth="11.44140625" defaultRowHeight="15.6" x14ac:dyDescent="0.35"/>
  <cols>
    <col min="1" max="16384" width="11.44140625" style="353"/>
  </cols>
  <sheetData>
    <row r="1" spans="1:21" ht="16.2" thickBot="1" x14ac:dyDescent="0.4">
      <c r="A1" s="387"/>
      <c r="B1" s="388">
        <v>2006</v>
      </c>
      <c r="C1" s="388">
        <v>2007</v>
      </c>
      <c r="D1" s="388">
        <v>2008</v>
      </c>
      <c r="E1" s="388">
        <v>2009</v>
      </c>
      <c r="F1" s="388">
        <v>2010</v>
      </c>
      <c r="G1" s="388">
        <v>2011</v>
      </c>
      <c r="H1" s="388">
        <v>2012</v>
      </c>
      <c r="I1" s="388">
        <v>2013</v>
      </c>
      <c r="J1" s="388">
        <v>2014</v>
      </c>
      <c r="K1" s="388">
        <v>2015</v>
      </c>
      <c r="L1" s="388">
        <v>2016</v>
      </c>
      <c r="M1" s="388">
        <v>2017</v>
      </c>
      <c r="N1" s="388">
        <v>2018</v>
      </c>
      <c r="O1" s="388">
        <v>2019</v>
      </c>
      <c r="P1" s="389">
        <v>2020</v>
      </c>
      <c r="Q1" s="388">
        <v>2021</v>
      </c>
      <c r="R1" s="388">
        <v>2022</v>
      </c>
      <c r="S1" s="374">
        <v>2023</v>
      </c>
      <c r="T1" s="374">
        <v>2024</v>
      </c>
      <c r="U1" s="374">
        <v>2025</v>
      </c>
    </row>
    <row r="2" spans="1:21" ht="16.2" thickBot="1" x14ac:dyDescent="0.4">
      <c r="A2" s="387" t="s">
        <v>85</v>
      </c>
      <c r="B2" s="390">
        <v>12389</v>
      </c>
      <c r="C2" s="391">
        <v>12049</v>
      </c>
      <c r="D2" s="391">
        <v>12106</v>
      </c>
      <c r="E2" s="391">
        <v>11886</v>
      </c>
      <c r="F2" s="392">
        <v>11597</v>
      </c>
      <c r="G2" s="392">
        <v>11094</v>
      </c>
      <c r="H2" s="392">
        <v>10465</v>
      </c>
      <c r="I2" s="392">
        <f>BEaH13!G25</f>
        <v>10145</v>
      </c>
      <c r="J2" s="390">
        <f>BEaH14!$G$25</f>
        <v>9389</v>
      </c>
      <c r="K2" s="392">
        <f>BEaH15!G25</f>
        <v>9591</v>
      </c>
      <c r="L2" s="392">
        <f>BEaH16!G25</f>
        <v>9627</v>
      </c>
      <c r="M2" s="390">
        <f>BEaH17!G25</f>
        <v>9873</v>
      </c>
      <c r="N2" s="390">
        <f>BEaH18!G25</f>
        <v>9432</v>
      </c>
      <c r="O2" s="390">
        <f>BEaH19!G25</f>
        <v>9005</v>
      </c>
      <c r="P2" s="393">
        <f>BEaH20!G25</f>
        <v>9096</v>
      </c>
      <c r="Q2" s="390">
        <f>BEaH21!G25</f>
        <v>9079</v>
      </c>
      <c r="R2" s="390">
        <f>BEaH22!G25</f>
        <v>8860</v>
      </c>
      <c r="S2" s="394">
        <f>BEaH23!G26</f>
        <v>8827</v>
      </c>
      <c r="T2" s="394">
        <f>BEaH24!G28</f>
        <v>8104</v>
      </c>
      <c r="U2" s="394">
        <f>BEaH25!G28</f>
        <v>7867</v>
      </c>
    </row>
    <row r="3" spans="1:21" x14ac:dyDescent="0.35">
      <c r="B3" s="395"/>
      <c r="C3" s="396"/>
      <c r="D3" s="396"/>
      <c r="E3" s="396"/>
      <c r="F3" s="397"/>
      <c r="G3" s="371"/>
      <c r="H3" s="371"/>
      <c r="I3" s="371"/>
      <c r="J3" s="371"/>
      <c r="K3" s="371"/>
      <c r="L3" s="371"/>
      <c r="M3" s="371"/>
    </row>
    <row r="4" spans="1:21" x14ac:dyDescent="0.35">
      <c r="B4" s="395"/>
      <c r="C4" s="398"/>
      <c r="D4" s="399"/>
      <c r="E4" s="399"/>
      <c r="F4" s="400"/>
      <c r="G4" s="371"/>
      <c r="H4" s="371"/>
      <c r="I4" s="371"/>
      <c r="J4" s="371"/>
      <c r="K4" s="371"/>
      <c r="L4" s="371"/>
      <c r="M4" s="371"/>
    </row>
    <row r="5" spans="1:21" x14ac:dyDescent="0.35">
      <c r="B5" s="395"/>
      <c r="C5" s="396"/>
      <c r="D5" s="396"/>
      <c r="E5" s="399"/>
      <c r="F5" s="397"/>
      <c r="G5" s="371"/>
      <c r="H5" s="371"/>
      <c r="I5" s="371"/>
      <c r="J5" s="371"/>
      <c r="K5" s="371"/>
      <c r="L5" s="371"/>
      <c r="M5" s="371"/>
    </row>
    <row r="6" spans="1:21" x14ac:dyDescent="0.35">
      <c r="B6" s="395"/>
      <c r="C6" s="396"/>
      <c r="D6" s="396"/>
      <c r="E6" s="399"/>
      <c r="F6" s="397"/>
      <c r="G6" s="371"/>
      <c r="H6" s="371"/>
      <c r="I6" s="371"/>
      <c r="J6" s="371"/>
      <c r="K6" s="371"/>
      <c r="L6" s="371"/>
      <c r="M6" s="371"/>
    </row>
    <row r="9" spans="1:21" x14ac:dyDescent="0.35">
      <c r="G9" s="353" t="s">
        <v>70</v>
      </c>
    </row>
    <row r="13" spans="1:21" x14ac:dyDescent="0.35">
      <c r="Q13" s="369"/>
    </row>
  </sheetData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0"/>
  <dimension ref="A1:F103"/>
  <sheetViews>
    <sheetView showGridLines="0" topLeftCell="A2" zoomScaleNormal="100" workbookViewId="0">
      <selection activeCell="A2" sqref="A1:XFD1048576"/>
    </sheetView>
  </sheetViews>
  <sheetFormatPr baseColWidth="10" defaultRowHeight="15.6" x14ac:dyDescent="0.35"/>
  <cols>
    <col min="1" max="1" width="24.5546875" style="353" customWidth="1"/>
    <col min="2" max="244" width="11.44140625" style="353"/>
    <col min="245" max="245" width="15.44140625" style="353" customWidth="1"/>
    <col min="246" max="248" width="0" style="353" hidden="1" customWidth="1"/>
    <col min="249" max="249" width="24.5546875" style="353" customWidth="1"/>
    <col min="250" max="254" width="0" style="353" hidden="1" customWidth="1"/>
    <col min="255" max="500" width="11.44140625" style="353"/>
    <col min="501" max="501" width="15.44140625" style="353" customWidth="1"/>
    <col min="502" max="504" width="0" style="353" hidden="1" customWidth="1"/>
    <col min="505" max="505" width="24.5546875" style="353" customWidth="1"/>
    <col min="506" max="510" width="0" style="353" hidden="1" customWidth="1"/>
    <col min="511" max="756" width="11.44140625" style="353"/>
    <col min="757" max="757" width="15.44140625" style="353" customWidth="1"/>
    <col min="758" max="760" width="0" style="353" hidden="1" customWidth="1"/>
    <col min="761" max="761" width="24.5546875" style="353" customWidth="1"/>
    <col min="762" max="766" width="0" style="353" hidden="1" customWidth="1"/>
    <col min="767" max="1012" width="11.44140625" style="353"/>
    <col min="1013" max="1013" width="15.44140625" style="353" customWidth="1"/>
    <col min="1014" max="1016" width="0" style="353" hidden="1" customWidth="1"/>
    <col min="1017" max="1017" width="24.5546875" style="353" customWidth="1"/>
    <col min="1018" max="1022" width="0" style="353" hidden="1" customWidth="1"/>
    <col min="1023" max="1268" width="11.44140625" style="353"/>
    <col min="1269" max="1269" width="15.44140625" style="353" customWidth="1"/>
    <col min="1270" max="1272" width="0" style="353" hidden="1" customWidth="1"/>
    <col min="1273" max="1273" width="24.5546875" style="353" customWidth="1"/>
    <col min="1274" max="1278" width="0" style="353" hidden="1" customWidth="1"/>
    <col min="1279" max="1524" width="11.44140625" style="353"/>
    <col min="1525" max="1525" width="15.44140625" style="353" customWidth="1"/>
    <col min="1526" max="1528" width="0" style="353" hidden="1" customWidth="1"/>
    <col min="1529" max="1529" width="24.5546875" style="353" customWidth="1"/>
    <col min="1530" max="1534" width="0" style="353" hidden="1" customWidth="1"/>
    <col min="1535" max="1780" width="11.44140625" style="353"/>
    <col min="1781" max="1781" width="15.44140625" style="353" customWidth="1"/>
    <col min="1782" max="1784" width="0" style="353" hidden="1" customWidth="1"/>
    <col min="1785" max="1785" width="24.5546875" style="353" customWidth="1"/>
    <col min="1786" max="1790" width="0" style="353" hidden="1" customWidth="1"/>
    <col min="1791" max="2036" width="11.44140625" style="353"/>
    <col min="2037" max="2037" width="15.44140625" style="353" customWidth="1"/>
    <col min="2038" max="2040" width="0" style="353" hidden="1" customWidth="1"/>
    <col min="2041" max="2041" width="24.5546875" style="353" customWidth="1"/>
    <col min="2042" max="2046" width="0" style="353" hidden="1" customWidth="1"/>
    <col min="2047" max="2292" width="11.44140625" style="353"/>
    <col min="2293" max="2293" width="15.44140625" style="353" customWidth="1"/>
    <col min="2294" max="2296" width="0" style="353" hidden="1" customWidth="1"/>
    <col min="2297" max="2297" width="24.5546875" style="353" customWidth="1"/>
    <col min="2298" max="2302" width="0" style="353" hidden="1" customWidth="1"/>
    <col min="2303" max="2548" width="11.44140625" style="353"/>
    <col min="2549" max="2549" width="15.44140625" style="353" customWidth="1"/>
    <col min="2550" max="2552" width="0" style="353" hidden="1" customWidth="1"/>
    <col min="2553" max="2553" width="24.5546875" style="353" customWidth="1"/>
    <col min="2554" max="2558" width="0" style="353" hidden="1" customWidth="1"/>
    <col min="2559" max="2804" width="11.44140625" style="353"/>
    <col min="2805" max="2805" width="15.44140625" style="353" customWidth="1"/>
    <col min="2806" max="2808" width="0" style="353" hidden="1" customWidth="1"/>
    <col min="2809" max="2809" width="24.5546875" style="353" customWidth="1"/>
    <col min="2810" max="2814" width="0" style="353" hidden="1" customWidth="1"/>
    <col min="2815" max="3060" width="11.44140625" style="353"/>
    <col min="3061" max="3061" width="15.44140625" style="353" customWidth="1"/>
    <col min="3062" max="3064" width="0" style="353" hidden="1" customWidth="1"/>
    <col min="3065" max="3065" width="24.5546875" style="353" customWidth="1"/>
    <col min="3066" max="3070" width="0" style="353" hidden="1" customWidth="1"/>
    <col min="3071" max="3316" width="11.44140625" style="353"/>
    <col min="3317" max="3317" width="15.44140625" style="353" customWidth="1"/>
    <col min="3318" max="3320" width="0" style="353" hidden="1" customWidth="1"/>
    <col min="3321" max="3321" width="24.5546875" style="353" customWidth="1"/>
    <col min="3322" max="3326" width="0" style="353" hidden="1" customWidth="1"/>
    <col min="3327" max="3572" width="11.44140625" style="353"/>
    <col min="3573" max="3573" width="15.44140625" style="353" customWidth="1"/>
    <col min="3574" max="3576" width="0" style="353" hidden="1" customWidth="1"/>
    <col min="3577" max="3577" width="24.5546875" style="353" customWidth="1"/>
    <col min="3578" max="3582" width="0" style="353" hidden="1" customWidth="1"/>
    <col min="3583" max="3828" width="11.44140625" style="353"/>
    <col min="3829" max="3829" width="15.44140625" style="353" customWidth="1"/>
    <col min="3830" max="3832" width="0" style="353" hidden="1" customWidth="1"/>
    <col min="3833" max="3833" width="24.5546875" style="353" customWidth="1"/>
    <col min="3834" max="3838" width="0" style="353" hidden="1" customWidth="1"/>
    <col min="3839" max="4084" width="11.44140625" style="353"/>
    <col min="4085" max="4085" width="15.44140625" style="353" customWidth="1"/>
    <col min="4086" max="4088" width="0" style="353" hidden="1" customWidth="1"/>
    <col min="4089" max="4089" width="24.5546875" style="353" customWidth="1"/>
    <col min="4090" max="4094" width="0" style="353" hidden="1" customWidth="1"/>
    <col min="4095" max="4340" width="11.44140625" style="353"/>
    <col min="4341" max="4341" width="15.44140625" style="353" customWidth="1"/>
    <col min="4342" max="4344" width="0" style="353" hidden="1" customWidth="1"/>
    <col min="4345" max="4345" width="24.5546875" style="353" customWidth="1"/>
    <col min="4346" max="4350" width="0" style="353" hidden="1" customWidth="1"/>
    <col min="4351" max="4596" width="11.44140625" style="353"/>
    <col min="4597" max="4597" width="15.44140625" style="353" customWidth="1"/>
    <col min="4598" max="4600" width="0" style="353" hidden="1" customWidth="1"/>
    <col min="4601" max="4601" width="24.5546875" style="353" customWidth="1"/>
    <col min="4602" max="4606" width="0" style="353" hidden="1" customWidth="1"/>
    <col min="4607" max="4852" width="11.44140625" style="353"/>
    <col min="4853" max="4853" width="15.44140625" style="353" customWidth="1"/>
    <col min="4854" max="4856" width="0" style="353" hidden="1" customWidth="1"/>
    <col min="4857" max="4857" width="24.5546875" style="353" customWidth="1"/>
    <col min="4858" max="4862" width="0" style="353" hidden="1" customWidth="1"/>
    <col min="4863" max="5108" width="11.44140625" style="353"/>
    <col min="5109" max="5109" width="15.44140625" style="353" customWidth="1"/>
    <col min="5110" max="5112" width="0" style="353" hidden="1" customWidth="1"/>
    <col min="5113" max="5113" width="24.5546875" style="353" customWidth="1"/>
    <col min="5114" max="5118" width="0" style="353" hidden="1" customWidth="1"/>
    <col min="5119" max="5364" width="11.44140625" style="353"/>
    <col min="5365" max="5365" width="15.44140625" style="353" customWidth="1"/>
    <col min="5366" max="5368" width="0" style="353" hidden="1" customWidth="1"/>
    <col min="5369" max="5369" width="24.5546875" style="353" customWidth="1"/>
    <col min="5370" max="5374" width="0" style="353" hidden="1" customWidth="1"/>
    <col min="5375" max="5620" width="11.44140625" style="353"/>
    <col min="5621" max="5621" width="15.44140625" style="353" customWidth="1"/>
    <col min="5622" max="5624" width="0" style="353" hidden="1" customWidth="1"/>
    <col min="5625" max="5625" width="24.5546875" style="353" customWidth="1"/>
    <col min="5626" max="5630" width="0" style="353" hidden="1" customWidth="1"/>
    <col min="5631" max="5876" width="11.44140625" style="353"/>
    <col min="5877" max="5877" width="15.44140625" style="353" customWidth="1"/>
    <col min="5878" max="5880" width="0" style="353" hidden="1" customWidth="1"/>
    <col min="5881" max="5881" width="24.5546875" style="353" customWidth="1"/>
    <col min="5882" max="5886" width="0" style="353" hidden="1" customWidth="1"/>
    <col min="5887" max="6132" width="11.44140625" style="353"/>
    <col min="6133" max="6133" width="15.44140625" style="353" customWidth="1"/>
    <col min="6134" max="6136" width="0" style="353" hidden="1" customWidth="1"/>
    <col min="6137" max="6137" width="24.5546875" style="353" customWidth="1"/>
    <col min="6138" max="6142" width="0" style="353" hidden="1" customWidth="1"/>
    <col min="6143" max="6388" width="11.44140625" style="353"/>
    <col min="6389" max="6389" width="15.44140625" style="353" customWidth="1"/>
    <col min="6390" max="6392" width="0" style="353" hidden="1" customWidth="1"/>
    <col min="6393" max="6393" width="24.5546875" style="353" customWidth="1"/>
    <col min="6394" max="6398" width="0" style="353" hidden="1" customWidth="1"/>
    <col min="6399" max="6644" width="11.44140625" style="353"/>
    <col min="6645" max="6645" width="15.44140625" style="353" customWidth="1"/>
    <col min="6646" max="6648" width="0" style="353" hidden="1" customWidth="1"/>
    <col min="6649" max="6649" width="24.5546875" style="353" customWidth="1"/>
    <col min="6650" max="6654" width="0" style="353" hidden="1" customWidth="1"/>
    <col min="6655" max="6900" width="11.44140625" style="353"/>
    <col min="6901" max="6901" width="15.44140625" style="353" customWidth="1"/>
    <col min="6902" max="6904" width="0" style="353" hidden="1" customWidth="1"/>
    <col min="6905" max="6905" width="24.5546875" style="353" customWidth="1"/>
    <col min="6906" max="6910" width="0" style="353" hidden="1" customWidth="1"/>
    <col min="6911" max="7156" width="11.44140625" style="353"/>
    <col min="7157" max="7157" width="15.44140625" style="353" customWidth="1"/>
    <col min="7158" max="7160" width="0" style="353" hidden="1" customWidth="1"/>
    <col min="7161" max="7161" width="24.5546875" style="353" customWidth="1"/>
    <col min="7162" max="7166" width="0" style="353" hidden="1" customWidth="1"/>
    <col min="7167" max="7412" width="11.44140625" style="353"/>
    <col min="7413" max="7413" width="15.44140625" style="353" customWidth="1"/>
    <col min="7414" max="7416" width="0" style="353" hidden="1" customWidth="1"/>
    <col min="7417" max="7417" width="24.5546875" style="353" customWidth="1"/>
    <col min="7418" max="7422" width="0" style="353" hidden="1" customWidth="1"/>
    <col min="7423" max="7668" width="11.44140625" style="353"/>
    <col min="7669" max="7669" width="15.44140625" style="353" customWidth="1"/>
    <col min="7670" max="7672" width="0" style="353" hidden="1" customWidth="1"/>
    <col min="7673" max="7673" width="24.5546875" style="353" customWidth="1"/>
    <col min="7674" max="7678" width="0" style="353" hidden="1" customWidth="1"/>
    <col min="7679" max="7924" width="11.44140625" style="353"/>
    <col min="7925" max="7925" width="15.44140625" style="353" customWidth="1"/>
    <col min="7926" max="7928" width="0" style="353" hidden="1" customWidth="1"/>
    <col min="7929" max="7929" width="24.5546875" style="353" customWidth="1"/>
    <col min="7930" max="7934" width="0" style="353" hidden="1" customWidth="1"/>
    <col min="7935" max="8180" width="11.44140625" style="353"/>
    <col min="8181" max="8181" width="15.44140625" style="353" customWidth="1"/>
    <col min="8182" max="8184" width="0" style="353" hidden="1" customWidth="1"/>
    <col min="8185" max="8185" width="24.5546875" style="353" customWidth="1"/>
    <col min="8186" max="8190" width="0" style="353" hidden="1" customWidth="1"/>
    <col min="8191" max="8436" width="11.44140625" style="353"/>
    <col min="8437" max="8437" width="15.44140625" style="353" customWidth="1"/>
    <col min="8438" max="8440" width="0" style="353" hidden="1" customWidth="1"/>
    <col min="8441" max="8441" width="24.5546875" style="353" customWidth="1"/>
    <col min="8442" max="8446" width="0" style="353" hidden="1" customWidth="1"/>
    <col min="8447" max="8692" width="11.44140625" style="353"/>
    <col min="8693" max="8693" width="15.44140625" style="353" customWidth="1"/>
    <col min="8694" max="8696" width="0" style="353" hidden="1" customWidth="1"/>
    <col min="8697" max="8697" width="24.5546875" style="353" customWidth="1"/>
    <col min="8698" max="8702" width="0" style="353" hidden="1" customWidth="1"/>
    <col min="8703" max="8948" width="11.44140625" style="353"/>
    <col min="8949" max="8949" width="15.44140625" style="353" customWidth="1"/>
    <col min="8950" max="8952" width="0" style="353" hidden="1" customWidth="1"/>
    <col min="8953" max="8953" width="24.5546875" style="353" customWidth="1"/>
    <col min="8954" max="8958" width="0" style="353" hidden="1" customWidth="1"/>
    <col min="8959" max="9204" width="11.44140625" style="353"/>
    <col min="9205" max="9205" width="15.44140625" style="353" customWidth="1"/>
    <col min="9206" max="9208" width="0" style="353" hidden="1" customWidth="1"/>
    <col min="9209" max="9209" width="24.5546875" style="353" customWidth="1"/>
    <col min="9210" max="9214" width="0" style="353" hidden="1" customWidth="1"/>
    <col min="9215" max="9460" width="11.44140625" style="353"/>
    <col min="9461" max="9461" width="15.44140625" style="353" customWidth="1"/>
    <col min="9462" max="9464" width="0" style="353" hidden="1" customWidth="1"/>
    <col min="9465" max="9465" width="24.5546875" style="353" customWidth="1"/>
    <col min="9466" max="9470" width="0" style="353" hidden="1" customWidth="1"/>
    <col min="9471" max="9716" width="11.44140625" style="353"/>
    <col min="9717" max="9717" width="15.44140625" style="353" customWidth="1"/>
    <col min="9718" max="9720" width="0" style="353" hidden="1" customWidth="1"/>
    <col min="9721" max="9721" width="24.5546875" style="353" customWidth="1"/>
    <col min="9722" max="9726" width="0" style="353" hidden="1" customWidth="1"/>
    <col min="9727" max="9972" width="11.44140625" style="353"/>
    <col min="9973" max="9973" width="15.44140625" style="353" customWidth="1"/>
    <col min="9974" max="9976" width="0" style="353" hidden="1" customWidth="1"/>
    <col min="9977" max="9977" width="24.5546875" style="353" customWidth="1"/>
    <col min="9978" max="9982" width="0" style="353" hidden="1" customWidth="1"/>
    <col min="9983" max="10228" width="11.44140625" style="353"/>
    <col min="10229" max="10229" width="15.44140625" style="353" customWidth="1"/>
    <col min="10230" max="10232" width="0" style="353" hidden="1" customWidth="1"/>
    <col min="10233" max="10233" width="24.5546875" style="353" customWidth="1"/>
    <col min="10234" max="10238" width="0" style="353" hidden="1" customWidth="1"/>
    <col min="10239" max="10484" width="11.44140625" style="353"/>
    <col min="10485" max="10485" width="15.44140625" style="353" customWidth="1"/>
    <col min="10486" max="10488" width="0" style="353" hidden="1" customWidth="1"/>
    <col min="10489" max="10489" width="24.5546875" style="353" customWidth="1"/>
    <col min="10490" max="10494" width="0" style="353" hidden="1" customWidth="1"/>
    <col min="10495" max="10740" width="11.44140625" style="353"/>
    <col min="10741" max="10741" width="15.44140625" style="353" customWidth="1"/>
    <col min="10742" max="10744" width="0" style="353" hidden="1" customWidth="1"/>
    <col min="10745" max="10745" width="24.5546875" style="353" customWidth="1"/>
    <col min="10746" max="10750" width="0" style="353" hidden="1" customWidth="1"/>
    <col min="10751" max="10996" width="11.44140625" style="353"/>
    <col min="10997" max="10997" width="15.44140625" style="353" customWidth="1"/>
    <col min="10998" max="11000" width="0" style="353" hidden="1" customWidth="1"/>
    <col min="11001" max="11001" width="24.5546875" style="353" customWidth="1"/>
    <col min="11002" max="11006" width="0" style="353" hidden="1" customWidth="1"/>
    <col min="11007" max="11252" width="11.44140625" style="353"/>
    <col min="11253" max="11253" width="15.44140625" style="353" customWidth="1"/>
    <col min="11254" max="11256" width="0" style="353" hidden="1" customWidth="1"/>
    <col min="11257" max="11257" width="24.5546875" style="353" customWidth="1"/>
    <col min="11258" max="11262" width="0" style="353" hidden="1" customWidth="1"/>
    <col min="11263" max="11508" width="11.44140625" style="353"/>
    <col min="11509" max="11509" width="15.44140625" style="353" customWidth="1"/>
    <col min="11510" max="11512" width="0" style="353" hidden="1" customWidth="1"/>
    <col min="11513" max="11513" width="24.5546875" style="353" customWidth="1"/>
    <col min="11514" max="11518" width="0" style="353" hidden="1" customWidth="1"/>
    <col min="11519" max="11764" width="11.44140625" style="353"/>
    <col min="11765" max="11765" width="15.44140625" style="353" customWidth="1"/>
    <col min="11766" max="11768" width="0" style="353" hidden="1" customWidth="1"/>
    <col min="11769" max="11769" width="24.5546875" style="353" customWidth="1"/>
    <col min="11770" max="11774" width="0" style="353" hidden="1" customWidth="1"/>
    <col min="11775" max="12020" width="11.44140625" style="353"/>
    <col min="12021" max="12021" width="15.44140625" style="353" customWidth="1"/>
    <col min="12022" max="12024" width="0" style="353" hidden="1" customWidth="1"/>
    <col min="12025" max="12025" width="24.5546875" style="353" customWidth="1"/>
    <col min="12026" max="12030" width="0" style="353" hidden="1" customWidth="1"/>
    <col min="12031" max="12276" width="11.44140625" style="353"/>
    <col min="12277" max="12277" width="15.44140625" style="353" customWidth="1"/>
    <col min="12278" max="12280" width="0" style="353" hidden="1" customWidth="1"/>
    <col min="12281" max="12281" width="24.5546875" style="353" customWidth="1"/>
    <col min="12282" max="12286" width="0" style="353" hidden="1" customWidth="1"/>
    <col min="12287" max="12532" width="11.44140625" style="353"/>
    <col min="12533" max="12533" width="15.44140625" style="353" customWidth="1"/>
    <col min="12534" max="12536" width="0" style="353" hidden="1" customWidth="1"/>
    <col min="12537" max="12537" width="24.5546875" style="353" customWidth="1"/>
    <col min="12538" max="12542" width="0" style="353" hidden="1" customWidth="1"/>
    <col min="12543" max="12788" width="11.44140625" style="353"/>
    <col min="12789" max="12789" width="15.44140625" style="353" customWidth="1"/>
    <col min="12790" max="12792" width="0" style="353" hidden="1" customWidth="1"/>
    <col min="12793" max="12793" width="24.5546875" style="353" customWidth="1"/>
    <col min="12794" max="12798" width="0" style="353" hidden="1" customWidth="1"/>
    <col min="12799" max="13044" width="11.44140625" style="353"/>
    <col min="13045" max="13045" width="15.44140625" style="353" customWidth="1"/>
    <col min="13046" max="13048" width="0" style="353" hidden="1" customWidth="1"/>
    <col min="13049" max="13049" width="24.5546875" style="353" customWidth="1"/>
    <col min="13050" max="13054" width="0" style="353" hidden="1" customWidth="1"/>
    <col min="13055" max="13300" width="11.44140625" style="353"/>
    <col min="13301" max="13301" width="15.44140625" style="353" customWidth="1"/>
    <col min="13302" max="13304" width="0" style="353" hidden="1" customWidth="1"/>
    <col min="13305" max="13305" width="24.5546875" style="353" customWidth="1"/>
    <col min="13306" max="13310" width="0" style="353" hidden="1" customWidth="1"/>
    <col min="13311" max="13556" width="11.44140625" style="353"/>
    <col min="13557" max="13557" width="15.44140625" style="353" customWidth="1"/>
    <col min="13558" max="13560" width="0" style="353" hidden="1" customWidth="1"/>
    <col min="13561" max="13561" width="24.5546875" style="353" customWidth="1"/>
    <col min="13562" max="13566" width="0" style="353" hidden="1" customWidth="1"/>
    <col min="13567" max="13812" width="11.44140625" style="353"/>
    <col min="13813" max="13813" width="15.44140625" style="353" customWidth="1"/>
    <col min="13814" max="13816" width="0" style="353" hidden="1" customWidth="1"/>
    <col min="13817" max="13817" width="24.5546875" style="353" customWidth="1"/>
    <col min="13818" max="13822" width="0" style="353" hidden="1" customWidth="1"/>
    <col min="13823" max="14068" width="11.44140625" style="353"/>
    <col min="14069" max="14069" width="15.44140625" style="353" customWidth="1"/>
    <col min="14070" max="14072" width="0" style="353" hidden="1" customWidth="1"/>
    <col min="14073" max="14073" width="24.5546875" style="353" customWidth="1"/>
    <col min="14074" max="14078" width="0" style="353" hidden="1" customWidth="1"/>
    <col min="14079" max="14324" width="11.44140625" style="353"/>
    <col min="14325" max="14325" width="15.44140625" style="353" customWidth="1"/>
    <col min="14326" max="14328" width="0" style="353" hidden="1" customWidth="1"/>
    <col min="14329" max="14329" width="24.5546875" style="353" customWidth="1"/>
    <col min="14330" max="14334" width="0" style="353" hidden="1" customWidth="1"/>
    <col min="14335" max="14580" width="11.44140625" style="353"/>
    <col min="14581" max="14581" width="15.44140625" style="353" customWidth="1"/>
    <col min="14582" max="14584" width="0" style="353" hidden="1" customWidth="1"/>
    <col min="14585" max="14585" width="24.5546875" style="353" customWidth="1"/>
    <col min="14586" max="14590" width="0" style="353" hidden="1" customWidth="1"/>
    <col min="14591" max="14836" width="11.44140625" style="353"/>
    <col min="14837" max="14837" width="15.44140625" style="353" customWidth="1"/>
    <col min="14838" max="14840" width="0" style="353" hidden="1" customWidth="1"/>
    <col min="14841" max="14841" width="24.5546875" style="353" customWidth="1"/>
    <col min="14842" max="14846" width="0" style="353" hidden="1" customWidth="1"/>
    <col min="14847" max="15092" width="11.44140625" style="353"/>
    <col min="15093" max="15093" width="15.44140625" style="353" customWidth="1"/>
    <col min="15094" max="15096" width="0" style="353" hidden="1" customWidth="1"/>
    <col min="15097" max="15097" width="24.5546875" style="353" customWidth="1"/>
    <col min="15098" max="15102" width="0" style="353" hidden="1" customWidth="1"/>
    <col min="15103" max="15348" width="11.44140625" style="353"/>
    <col min="15349" max="15349" width="15.44140625" style="353" customWidth="1"/>
    <col min="15350" max="15352" width="0" style="353" hidden="1" customWidth="1"/>
    <col min="15353" max="15353" width="24.5546875" style="353" customWidth="1"/>
    <col min="15354" max="15358" width="0" style="353" hidden="1" customWidth="1"/>
    <col min="15359" max="15604" width="11.44140625" style="353"/>
    <col min="15605" max="15605" width="15.44140625" style="353" customWidth="1"/>
    <col min="15606" max="15608" width="0" style="353" hidden="1" customWidth="1"/>
    <col min="15609" max="15609" width="24.5546875" style="353" customWidth="1"/>
    <col min="15610" max="15614" width="0" style="353" hidden="1" customWidth="1"/>
    <col min="15615" max="15860" width="11.44140625" style="353"/>
    <col min="15861" max="15861" width="15.44140625" style="353" customWidth="1"/>
    <col min="15862" max="15864" width="0" style="353" hidden="1" customWidth="1"/>
    <col min="15865" max="15865" width="24.5546875" style="353" customWidth="1"/>
    <col min="15866" max="15870" width="0" style="353" hidden="1" customWidth="1"/>
    <col min="15871" max="16116" width="11.44140625" style="353"/>
    <col min="16117" max="16117" width="15.44140625" style="353" customWidth="1"/>
    <col min="16118" max="16120" width="0" style="353" hidden="1" customWidth="1"/>
    <col min="16121" max="16121" width="24.5546875" style="353" customWidth="1"/>
    <col min="16122" max="16126" width="0" style="353" hidden="1" customWidth="1"/>
    <col min="16127" max="16375" width="11.44140625" style="353"/>
    <col min="16376" max="16376" width="11.44140625" style="353" customWidth="1"/>
    <col min="16377" max="16381" width="11.44140625" style="353"/>
    <col min="16382" max="16384" width="11.44140625" style="353" customWidth="1"/>
  </cols>
  <sheetData>
    <row r="1" spans="1:6" hidden="1" x14ac:dyDescent="0.35"/>
    <row r="2" spans="1:6" ht="16.2" thickBot="1" x14ac:dyDescent="0.4">
      <c r="A2" s="354"/>
      <c r="B2" s="388">
        <v>2021</v>
      </c>
      <c r="C2" s="388">
        <v>2022</v>
      </c>
      <c r="D2" s="388">
        <v>2023</v>
      </c>
      <c r="E2" s="388">
        <v>2024</v>
      </c>
      <c r="F2" s="374">
        <v>2025</v>
      </c>
    </row>
    <row r="3" spans="1:6" x14ac:dyDescent="0.35">
      <c r="A3" s="357" t="s">
        <v>86</v>
      </c>
      <c r="B3" s="376">
        <f>BEaH21!B25</f>
        <v>1706</v>
      </c>
      <c r="C3" s="376">
        <f>BEaH22!B25</f>
        <v>1707</v>
      </c>
      <c r="D3" s="376">
        <f>BEaH23!B26</f>
        <v>1618</v>
      </c>
      <c r="E3" s="376">
        <f>BEaH24!B28</f>
        <v>1463</v>
      </c>
      <c r="F3" s="381">
        <f>BEaH25!B28</f>
        <v>1529</v>
      </c>
    </row>
    <row r="4" spans="1:6" x14ac:dyDescent="0.35">
      <c r="A4" s="360" t="s">
        <v>69</v>
      </c>
      <c r="B4" s="380">
        <f>BEaH21!C25</f>
        <v>748</v>
      </c>
      <c r="C4" s="380">
        <f>BEaH22!C25</f>
        <v>842</v>
      </c>
      <c r="D4" s="380">
        <f>BEaH23!C26</f>
        <v>777</v>
      </c>
      <c r="E4" s="380">
        <f>BEaH24!C28</f>
        <v>696</v>
      </c>
      <c r="F4" s="381">
        <f>BEaH25!C28</f>
        <v>729</v>
      </c>
    </row>
    <row r="5" spans="1:6" x14ac:dyDescent="0.35">
      <c r="A5" s="360" t="s">
        <v>87</v>
      </c>
      <c r="B5" s="380">
        <f>BEaH21!D25</f>
        <v>2833</v>
      </c>
      <c r="C5" s="380">
        <f>BEaH22!D25</f>
        <v>2446</v>
      </c>
      <c r="D5" s="380">
        <f>BEaH23!D26</f>
        <v>2741</v>
      </c>
      <c r="E5" s="380">
        <f>BEaH24!D28</f>
        <v>2594</v>
      </c>
      <c r="F5" s="381">
        <f>BEaH25!D28</f>
        <v>2382</v>
      </c>
    </row>
    <row r="6" spans="1:6" x14ac:dyDescent="0.35">
      <c r="A6" s="360" t="s">
        <v>88</v>
      </c>
      <c r="B6" s="380">
        <f>BEaH21!E25</f>
        <v>2781</v>
      </c>
      <c r="C6" s="380">
        <f>BEaH22!E25</f>
        <v>2764</v>
      </c>
      <c r="D6" s="380">
        <f>BEaH23!E26</f>
        <v>2654</v>
      </c>
      <c r="E6" s="380">
        <f>BEaH24!E28</f>
        <v>2370</v>
      </c>
      <c r="F6" s="381">
        <f>BEaH25!E28</f>
        <v>2287</v>
      </c>
    </row>
    <row r="7" spans="1:6" ht="16.2" thickBot="1" x14ac:dyDescent="0.4">
      <c r="A7" s="364" t="s">
        <v>89</v>
      </c>
      <c r="B7" s="401">
        <f>BEaH21!F25</f>
        <v>1011</v>
      </c>
      <c r="C7" s="401">
        <f>BEaH22!F25</f>
        <v>1101</v>
      </c>
      <c r="D7" s="401">
        <f>BEaH23!F26</f>
        <v>1037</v>
      </c>
      <c r="E7" s="401">
        <f>BEaH24!F28</f>
        <v>981</v>
      </c>
      <c r="F7" s="381">
        <f>BEaH25!F28</f>
        <v>940</v>
      </c>
    </row>
    <row r="8" spans="1:6" ht="16.2" thickBot="1" x14ac:dyDescent="0.4">
      <c r="A8" s="354"/>
      <c r="B8" s="402">
        <f>BEaH21!G25</f>
        <v>9079</v>
      </c>
      <c r="C8" s="402">
        <f>BEaH22!G25</f>
        <v>8860</v>
      </c>
      <c r="D8" s="402">
        <f>BEaH23!G26</f>
        <v>8827</v>
      </c>
      <c r="E8" s="402">
        <f>BEaH24!G28</f>
        <v>8104</v>
      </c>
      <c r="F8" s="403">
        <f>BEaH25!G28</f>
        <v>7867</v>
      </c>
    </row>
    <row r="9" spans="1:6" x14ac:dyDescent="0.35">
      <c r="B9" s="371"/>
      <c r="C9" s="371"/>
    </row>
    <row r="58" spans="1:2" x14ac:dyDescent="0.35">
      <c r="A58" s="371"/>
      <c r="B58" s="371"/>
    </row>
    <row r="59" spans="1:2" x14ac:dyDescent="0.35">
      <c r="A59" s="371"/>
      <c r="B59" s="371"/>
    </row>
    <row r="60" spans="1:2" x14ac:dyDescent="0.35">
      <c r="A60" s="371"/>
      <c r="B60" s="371"/>
    </row>
    <row r="61" spans="1:2" x14ac:dyDescent="0.35">
      <c r="A61" s="371"/>
      <c r="B61" s="371"/>
    </row>
    <row r="62" spans="1:2" x14ac:dyDescent="0.35">
      <c r="A62" s="371"/>
      <c r="B62" s="371"/>
    </row>
    <row r="63" spans="1:2" x14ac:dyDescent="0.35">
      <c r="A63" s="371"/>
      <c r="B63" s="371"/>
    </row>
    <row r="64" spans="1:2" x14ac:dyDescent="0.35">
      <c r="A64" s="371"/>
      <c r="B64" s="371"/>
    </row>
    <row r="65" spans="1:2" x14ac:dyDescent="0.35">
      <c r="A65" s="371"/>
      <c r="B65" s="371"/>
    </row>
    <row r="66" spans="1:2" x14ac:dyDescent="0.35">
      <c r="A66" s="371"/>
      <c r="B66" s="371"/>
    </row>
    <row r="67" spans="1:2" x14ac:dyDescent="0.35">
      <c r="A67" s="371"/>
      <c r="B67" s="371"/>
    </row>
    <row r="93" spans="1:1" x14ac:dyDescent="0.35">
      <c r="A93" s="370"/>
    </row>
    <row r="94" spans="1:1" x14ac:dyDescent="0.35">
      <c r="A94" s="371"/>
    </row>
    <row r="95" spans="1:1" x14ac:dyDescent="0.35">
      <c r="A95" s="371"/>
    </row>
    <row r="96" spans="1:1" x14ac:dyDescent="0.35">
      <c r="A96" s="371"/>
    </row>
    <row r="97" spans="1:1" x14ac:dyDescent="0.35">
      <c r="A97" s="371"/>
    </row>
    <row r="98" spans="1:1" x14ac:dyDescent="0.35">
      <c r="A98" s="371"/>
    </row>
    <row r="99" spans="1:1" x14ac:dyDescent="0.35">
      <c r="A99" s="371"/>
    </row>
    <row r="100" spans="1:1" x14ac:dyDescent="0.35">
      <c r="A100" s="371"/>
    </row>
    <row r="101" spans="1:1" x14ac:dyDescent="0.35">
      <c r="A101" s="371"/>
    </row>
    <row r="102" spans="1:1" x14ac:dyDescent="0.35">
      <c r="A102" s="371"/>
    </row>
    <row r="103" spans="1:1" x14ac:dyDescent="0.35">
      <c r="A103" s="371"/>
    </row>
  </sheetData>
  <pageMargins left="0.39370078740157483" right="0.78740157480314965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1"/>
  <dimension ref="A1:G5"/>
  <sheetViews>
    <sheetView showGridLines="0" zoomScaleNormal="100" workbookViewId="0">
      <selection sqref="A1:XFD1048576"/>
    </sheetView>
  </sheetViews>
  <sheetFormatPr baseColWidth="10" defaultRowHeight="15.6" x14ac:dyDescent="0.35"/>
  <cols>
    <col min="1" max="1" width="21.77734375" style="353" customWidth="1"/>
    <col min="2" max="2" width="11.44140625" style="353"/>
    <col min="3" max="3" width="11.44140625" style="353" customWidth="1"/>
    <col min="4" max="5" width="11.44140625" style="353"/>
    <col min="6" max="6" width="12.44140625" style="353" bestFit="1" customWidth="1"/>
    <col min="7" max="7" width="11.77734375" style="353" customWidth="1"/>
    <col min="8" max="8" width="11" style="353" bestFit="1" customWidth="1"/>
    <col min="9" max="9" width="11.44140625" style="353"/>
    <col min="10" max="10" width="15.44140625" style="353" bestFit="1" customWidth="1"/>
    <col min="11" max="249" width="11.44140625" style="353"/>
    <col min="250" max="250" width="21.77734375" style="353" customWidth="1"/>
    <col min="251" max="256" width="0" style="353" hidden="1" customWidth="1"/>
    <col min="257" max="257" width="13.77734375" style="353" customWidth="1"/>
    <col min="258" max="258" width="11.44140625" style="353"/>
    <col min="259" max="259" width="0" style="353" hidden="1" customWidth="1"/>
    <col min="260" max="261" width="11.44140625" style="353"/>
    <col min="262" max="262" width="12.44140625" style="353" bestFit="1" customWidth="1"/>
    <col min="263" max="263" width="9.21875" style="353" bestFit="1" customWidth="1"/>
    <col min="264" max="264" width="11" style="353" bestFit="1" customWidth="1"/>
    <col min="265" max="265" width="11.44140625" style="353"/>
    <col min="266" max="266" width="15.44140625" style="353" bestFit="1" customWidth="1"/>
    <col min="267" max="505" width="11.44140625" style="353"/>
    <col min="506" max="506" width="21.77734375" style="353" customWidth="1"/>
    <col min="507" max="512" width="0" style="353" hidden="1" customWidth="1"/>
    <col min="513" max="513" width="13.77734375" style="353" customWidth="1"/>
    <col min="514" max="514" width="11.44140625" style="353"/>
    <col min="515" max="515" width="0" style="353" hidden="1" customWidth="1"/>
    <col min="516" max="517" width="11.44140625" style="353"/>
    <col min="518" max="518" width="12.44140625" style="353" bestFit="1" customWidth="1"/>
    <col min="519" max="519" width="9.21875" style="353" bestFit="1" customWidth="1"/>
    <col min="520" max="520" width="11" style="353" bestFit="1" customWidth="1"/>
    <col min="521" max="521" width="11.44140625" style="353"/>
    <col min="522" max="522" width="15.44140625" style="353" bestFit="1" customWidth="1"/>
    <col min="523" max="761" width="11.44140625" style="353"/>
    <col min="762" max="762" width="21.77734375" style="353" customWidth="1"/>
    <col min="763" max="768" width="0" style="353" hidden="1" customWidth="1"/>
    <col min="769" max="769" width="13.77734375" style="353" customWidth="1"/>
    <col min="770" max="770" width="11.44140625" style="353"/>
    <col min="771" max="771" width="0" style="353" hidden="1" customWidth="1"/>
    <col min="772" max="773" width="11.44140625" style="353"/>
    <col min="774" max="774" width="12.44140625" style="353" bestFit="1" customWidth="1"/>
    <col min="775" max="775" width="9.21875" style="353" bestFit="1" customWidth="1"/>
    <col min="776" max="776" width="11" style="353" bestFit="1" customWidth="1"/>
    <col min="777" max="777" width="11.44140625" style="353"/>
    <col min="778" max="778" width="15.44140625" style="353" bestFit="1" customWidth="1"/>
    <col min="779" max="1017" width="11.44140625" style="353"/>
    <col min="1018" max="1018" width="21.77734375" style="353" customWidth="1"/>
    <col min="1019" max="1024" width="0" style="353" hidden="1" customWidth="1"/>
    <col min="1025" max="1025" width="13.77734375" style="353" customWidth="1"/>
    <col min="1026" max="1026" width="11.44140625" style="353"/>
    <col min="1027" max="1027" width="0" style="353" hidden="1" customWidth="1"/>
    <col min="1028" max="1029" width="11.44140625" style="353"/>
    <col min="1030" max="1030" width="12.44140625" style="353" bestFit="1" customWidth="1"/>
    <col min="1031" max="1031" width="9.21875" style="353" bestFit="1" customWidth="1"/>
    <col min="1032" max="1032" width="11" style="353" bestFit="1" customWidth="1"/>
    <col min="1033" max="1033" width="11.44140625" style="353"/>
    <col min="1034" max="1034" width="15.44140625" style="353" bestFit="1" customWidth="1"/>
    <col min="1035" max="1273" width="11.44140625" style="353"/>
    <col min="1274" max="1274" width="21.77734375" style="353" customWidth="1"/>
    <col min="1275" max="1280" width="0" style="353" hidden="1" customWidth="1"/>
    <col min="1281" max="1281" width="13.77734375" style="353" customWidth="1"/>
    <col min="1282" max="1282" width="11.44140625" style="353"/>
    <col min="1283" max="1283" width="0" style="353" hidden="1" customWidth="1"/>
    <col min="1284" max="1285" width="11.44140625" style="353"/>
    <col min="1286" max="1286" width="12.44140625" style="353" bestFit="1" customWidth="1"/>
    <col min="1287" max="1287" width="9.21875" style="353" bestFit="1" customWidth="1"/>
    <col min="1288" max="1288" width="11" style="353" bestFit="1" customWidth="1"/>
    <col min="1289" max="1289" width="11.44140625" style="353"/>
    <col min="1290" max="1290" width="15.44140625" style="353" bestFit="1" customWidth="1"/>
    <col min="1291" max="1529" width="11.44140625" style="353"/>
    <col min="1530" max="1530" width="21.77734375" style="353" customWidth="1"/>
    <col min="1531" max="1536" width="0" style="353" hidden="1" customWidth="1"/>
    <col min="1537" max="1537" width="13.77734375" style="353" customWidth="1"/>
    <col min="1538" max="1538" width="11.44140625" style="353"/>
    <col min="1539" max="1539" width="0" style="353" hidden="1" customWidth="1"/>
    <col min="1540" max="1541" width="11.44140625" style="353"/>
    <col min="1542" max="1542" width="12.44140625" style="353" bestFit="1" customWidth="1"/>
    <col min="1543" max="1543" width="9.21875" style="353" bestFit="1" customWidth="1"/>
    <col min="1544" max="1544" width="11" style="353" bestFit="1" customWidth="1"/>
    <col min="1545" max="1545" width="11.44140625" style="353"/>
    <col min="1546" max="1546" width="15.44140625" style="353" bestFit="1" customWidth="1"/>
    <col min="1547" max="1785" width="11.44140625" style="353"/>
    <col min="1786" max="1786" width="21.77734375" style="353" customWidth="1"/>
    <col min="1787" max="1792" width="0" style="353" hidden="1" customWidth="1"/>
    <col min="1793" max="1793" width="13.77734375" style="353" customWidth="1"/>
    <col min="1794" max="1794" width="11.44140625" style="353"/>
    <col min="1795" max="1795" width="0" style="353" hidden="1" customWidth="1"/>
    <col min="1796" max="1797" width="11.44140625" style="353"/>
    <col min="1798" max="1798" width="12.44140625" style="353" bestFit="1" customWidth="1"/>
    <col min="1799" max="1799" width="9.21875" style="353" bestFit="1" customWidth="1"/>
    <col min="1800" max="1800" width="11" style="353" bestFit="1" customWidth="1"/>
    <col min="1801" max="1801" width="11.44140625" style="353"/>
    <col min="1802" max="1802" width="15.44140625" style="353" bestFit="1" customWidth="1"/>
    <col min="1803" max="2041" width="11.44140625" style="353"/>
    <col min="2042" max="2042" width="21.77734375" style="353" customWidth="1"/>
    <col min="2043" max="2048" width="0" style="353" hidden="1" customWidth="1"/>
    <col min="2049" max="2049" width="13.77734375" style="353" customWidth="1"/>
    <col min="2050" max="2050" width="11.44140625" style="353"/>
    <col min="2051" max="2051" width="0" style="353" hidden="1" customWidth="1"/>
    <col min="2052" max="2053" width="11.44140625" style="353"/>
    <col min="2054" max="2054" width="12.44140625" style="353" bestFit="1" customWidth="1"/>
    <col min="2055" max="2055" width="9.21875" style="353" bestFit="1" customWidth="1"/>
    <col min="2056" max="2056" width="11" style="353" bestFit="1" customWidth="1"/>
    <col min="2057" max="2057" width="11.44140625" style="353"/>
    <col min="2058" max="2058" width="15.44140625" style="353" bestFit="1" customWidth="1"/>
    <col min="2059" max="2297" width="11.44140625" style="353"/>
    <col min="2298" max="2298" width="21.77734375" style="353" customWidth="1"/>
    <col min="2299" max="2304" width="0" style="353" hidden="1" customWidth="1"/>
    <col min="2305" max="2305" width="13.77734375" style="353" customWidth="1"/>
    <col min="2306" max="2306" width="11.44140625" style="353"/>
    <col min="2307" max="2307" width="0" style="353" hidden="1" customWidth="1"/>
    <col min="2308" max="2309" width="11.44140625" style="353"/>
    <col min="2310" max="2310" width="12.44140625" style="353" bestFit="1" customWidth="1"/>
    <col min="2311" max="2311" width="9.21875" style="353" bestFit="1" customWidth="1"/>
    <col min="2312" max="2312" width="11" style="353" bestFit="1" customWidth="1"/>
    <col min="2313" max="2313" width="11.44140625" style="353"/>
    <col min="2314" max="2314" width="15.44140625" style="353" bestFit="1" customWidth="1"/>
    <col min="2315" max="2553" width="11.44140625" style="353"/>
    <col min="2554" max="2554" width="21.77734375" style="353" customWidth="1"/>
    <col min="2555" max="2560" width="0" style="353" hidden="1" customWidth="1"/>
    <col min="2561" max="2561" width="13.77734375" style="353" customWidth="1"/>
    <col min="2562" max="2562" width="11.44140625" style="353"/>
    <col min="2563" max="2563" width="0" style="353" hidden="1" customWidth="1"/>
    <col min="2564" max="2565" width="11.44140625" style="353"/>
    <col min="2566" max="2566" width="12.44140625" style="353" bestFit="1" customWidth="1"/>
    <col min="2567" max="2567" width="9.21875" style="353" bestFit="1" customWidth="1"/>
    <col min="2568" max="2568" width="11" style="353" bestFit="1" customWidth="1"/>
    <col min="2569" max="2569" width="11.44140625" style="353"/>
    <col min="2570" max="2570" width="15.44140625" style="353" bestFit="1" customWidth="1"/>
    <col min="2571" max="2809" width="11.44140625" style="353"/>
    <col min="2810" max="2810" width="21.77734375" style="353" customWidth="1"/>
    <col min="2811" max="2816" width="0" style="353" hidden="1" customWidth="1"/>
    <col min="2817" max="2817" width="13.77734375" style="353" customWidth="1"/>
    <col min="2818" max="2818" width="11.44140625" style="353"/>
    <col min="2819" max="2819" width="0" style="353" hidden="1" customWidth="1"/>
    <col min="2820" max="2821" width="11.44140625" style="353"/>
    <col min="2822" max="2822" width="12.44140625" style="353" bestFit="1" customWidth="1"/>
    <col min="2823" max="2823" width="9.21875" style="353" bestFit="1" customWidth="1"/>
    <col min="2824" max="2824" width="11" style="353" bestFit="1" customWidth="1"/>
    <col min="2825" max="2825" width="11.44140625" style="353"/>
    <col min="2826" max="2826" width="15.44140625" style="353" bestFit="1" customWidth="1"/>
    <col min="2827" max="3065" width="11.44140625" style="353"/>
    <col min="3066" max="3066" width="21.77734375" style="353" customWidth="1"/>
    <col min="3067" max="3072" width="0" style="353" hidden="1" customWidth="1"/>
    <col min="3073" max="3073" width="13.77734375" style="353" customWidth="1"/>
    <col min="3074" max="3074" width="11.44140625" style="353"/>
    <col min="3075" max="3075" width="0" style="353" hidden="1" customWidth="1"/>
    <col min="3076" max="3077" width="11.44140625" style="353"/>
    <col min="3078" max="3078" width="12.44140625" style="353" bestFit="1" customWidth="1"/>
    <col min="3079" max="3079" width="9.21875" style="353" bestFit="1" customWidth="1"/>
    <col min="3080" max="3080" width="11" style="353" bestFit="1" customWidth="1"/>
    <col min="3081" max="3081" width="11.44140625" style="353"/>
    <col min="3082" max="3082" width="15.44140625" style="353" bestFit="1" customWidth="1"/>
    <col min="3083" max="3321" width="11.44140625" style="353"/>
    <col min="3322" max="3322" width="21.77734375" style="353" customWidth="1"/>
    <col min="3323" max="3328" width="0" style="353" hidden="1" customWidth="1"/>
    <col min="3329" max="3329" width="13.77734375" style="353" customWidth="1"/>
    <col min="3330" max="3330" width="11.44140625" style="353"/>
    <col min="3331" max="3331" width="0" style="353" hidden="1" customWidth="1"/>
    <col min="3332" max="3333" width="11.44140625" style="353"/>
    <col min="3334" max="3334" width="12.44140625" style="353" bestFit="1" customWidth="1"/>
    <col min="3335" max="3335" width="9.21875" style="353" bestFit="1" customWidth="1"/>
    <col min="3336" max="3336" width="11" style="353" bestFit="1" customWidth="1"/>
    <col min="3337" max="3337" width="11.44140625" style="353"/>
    <col min="3338" max="3338" width="15.44140625" style="353" bestFit="1" customWidth="1"/>
    <col min="3339" max="3577" width="11.44140625" style="353"/>
    <col min="3578" max="3578" width="21.77734375" style="353" customWidth="1"/>
    <col min="3579" max="3584" width="0" style="353" hidden="1" customWidth="1"/>
    <col min="3585" max="3585" width="13.77734375" style="353" customWidth="1"/>
    <col min="3586" max="3586" width="11.44140625" style="353"/>
    <col min="3587" max="3587" width="0" style="353" hidden="1" customWidth="1"/>
    <col min="3588" max="3589" width="11.44140625" style="353"/>
    <col min="3590" max="3590" width="12.44140625" style="353" bestFit="1" customWidth="1"/>
    <col min="3591" max="3591" width="9.21875" style="353" bestFit="1" customWidth="1"/>
    <col min="3592" max="3592" width="11" style="353" bestFit="1" customWidth="1"/>
    <col min="3593" max="3593" width="11.44140625" style="353"/>
    <col min="3594" max="3594" width="15.44140625" style="353" bestFit="1" customWidth="1"/>
    <col min="3595" max="3833" width="11.44140625" style="353"/>
    <col min="3834" max="3834" width="21.77734375" style="353" customWidth="1"/>
    <col min="3835" max="3840" width="0" style="353" hidden="1" customWidth="1"/>
    <col min="3841" max="3841" width="13.77734375" style="353" customWidth="1"/>
    <col min="3842" max="3842" width="11.44140625" style="353"/>
    <col min="3843" max="3843" width="0" style="353" hidden="1" customWidth="1"/>
    <col min="3844" max="3845" width="11.44140625" style="353"/>
    <col min="3846" max="3846" width="12.44140625" style="353" bestFit="1" customWidth="1"/>
    <col min="3847" max="3847" width="9.21875" style="353" bestFit="1" customWidth="1"/>
    <col min="3848" max="3848" width="11" style="353" bestFit="1" customWidth="1"/>
    <col min="3849" max="3849" width="11.44140625" style="353"/>
    <col min="3850" max="3850" width="15.44140625" style="353" bestFit="1" customWidth="1"/>
    <col min="3851" max="4089" width="11.44140625" style="353"/>
    <col min="4090" max="4090" width="21.77734375" style="353" customWidth="1"/>
    <col min="4091" max="4096" width="0" style="353" hidden="1" customWidth="1"/>
    <col min="4097" max="4097" width="13.77734375" style="353" customWidth="1"/>
    <col min="4098" max="4098" width="11.44140625" style="353"/>
    <col min="4099" max="4099" width="0" style="353" hidden="1" customWidth="1"/>
    <col min="4100" max="4101" width="11.44140625" style="353"/>
    <col min="4102" max="4102" width="12.44140625" style="353" bestFit="1" customWidth="1"/>
    <col min="4103" max="4103" width="9.21875" style="353" bestFit="1" customWidth="1"/>
    <col min="4104" max="4104" width="11" style="353" bestFit="1" customWidth="1"/>
    <col min="4105" max="4105" width="11.44140625" style="353"/>
    <col min="4106" max="4106" width="15.44140625" style="353" bestFit="1" customWidth="1"/>
    <col min="4107" max="4345" width="11.44140625" style="353"/>
    <col min="4346" max="4346" width="21.77734375" style="353" customWidth="1"/>
    <col min="4347" max="4352" width="0" style="353" hidden="1" customWidth="1"/>
    <col min="4353" max="4353" width="13.77734375" style="353" customWidth="1"/>
    <col min="4354" max="4354" width="11.44140625" style="353"/>
    <col min="4355" max="4355" width="0" style="353" hidden="1" customWidth="1"/>
    <col min="4356" max="4357" width="11.44140625" style="353"/>
    <col min="4358" max="4358" width="12.44140625" style="353" bestFit="1" customWidth="1"/>
    <col min="4359" max="4359" width="9.21875" style="353" bestFit="1" customWidth="1"/>
    <col min="4360" max="4360" width="11" style="353" bestFit="1" customWidth="1"/>
    <col min="4361" max="4361" width="11.44140625" style="353"/>
    <col min="4362" max="4362" width="15.44140625" style="353" bestFit="1" customWidth="1"/>
    <col min="4363" max="4601" width="11.44140625" style="353"/>
    <col min="4602" max="4602" width="21.77734375" style="353" customWidth="1"/>
    <col min="4603" max="4608" width="0" style="353" hidden="1" customWidth="1"/>
    <col min="4609" max="4609" width="13.77734375" style="353" customWidth="1"/>
    <col min="4610" max="4610" width="11.44140625" style="353"/>
    <col min="4611" max="4611" width="0" style="353" hidden="1" customWidth="1"/>
    <col min="4612" max="4613" width="11.44140625" style="353"/>
    <col min="4614" max="4614" width="12.44140625" style="353" bestFit="1" customWidth="1"/>
    <col min="4615" max="4615" width="9.21875" style="353" bestFit="1" customWidth="1"/>
    <col min="4616" max="4616" width="11" style="353" bestFit="1" customWidth="1"/>
    <col min="4617" max="4617" width="11.44140625" style="353"/>
    <col min="4618" max="4618" width="15.44140625" style="353" bestFit="1" customWidth="1"/>
    <col min="4619" max="4857" width="11.44140625" style="353"/>
    <col min="4858" max="4858" width="21.77734375" style="353" customWidth="1"/>
    <col min="4859" max="4864" width="0" style="353" hidden="1" customWidth="1"/>
    <col min="4865" max="4865" width="13.77734375" style="353" customWidth="1"/>
    <col min="4866" max="4866" width="11.44140625" style="353"/>
    <col min="4867" max="4867" width="0" style="353" hidden="1" customWidth="1"/>
    <col min="4868" max="4869" width="11.44140625" style="353"/>
    <col min="4870" max="4870" width="12.44140625" style="353" bestFit="1" customWidth="1"/>
    <col min="4871" max="4871" width="9.21875" style="353" bestFit="1" customWidth="1"/>
    <col min="4872" max="4872" width="11" style="353" bestFit="1" customWidth="1"/>
    <col min="4873" max="4873" width="11.44140625" style="353"/>
    <col min="4874" max="4874" width="15.44140625" style="353" bestFit="1" customWidth="1"/>
    <col min="4875" max="5113" width="11.44140625" style="353"/>
    <col min="5114" max="5114" width="21.77734375" style="353" customWidth="1"/>
    <col min="5115" max="5120" width="0" style="353" hidden="1" customWidth="1"/>
    <col min="5121" max="5121" width="13.77734375" style="353" customWidth="1"/>
    <col min="5122" max="5122" width="11.44140625" style="353"/>
    <col min="5123" max="5123" width="0" style="353" hidden="1" customWidth="1"/>
    <col min="5124" max="5125" width="11.44140625" style="353"/>
    <col min="5126" max="5126" width="12.44140625" style="353" bestFit="1" customWidth="1"/>
    <col min="5127" max="5127" width="9.21875" style="353" bestFit="1" customWidth="1"/>
    <col min="5128" max="5128" width="11" style="353" bestFit="1" customWidth="1"/>
    <col min="5129" max="5129" width="11.44140625" style="353"/>
    <col min="5130" max="5130" width="15.44140625" style="353" bestFit="1" customWidth="1"/>
    <col min="5131" max="5369" width="11.44140625" style="353"/>
    <col min="5370" max="5370" width="21.77734375" style="353" customWidth="1"/>
    <col min="5371" max="5376" width="0" style="353" hidden="1" customWidth="1"/>
    <col min="5377" max="5377" width="13.77734375" style="353" customWidth="1"/>
    <col min="5378" max="5378" width="11.44140625" style="353"/>
    <col min="5379" max="5379" width="0" style="353" hidden="1" customWidth="1"/>
    <col min="5380" max="5381" width="11.44140625" style="353"/>
    <col min="5382" max="5382" width="12.44140625" style="353" bestFit="1" customWidth="1"/>
    <col min="5383" max="5383" width="9.21875" style="353" bestFit="1" customWidth="1"/>
    <col min="5384" max="5384" width="11" style="353" bestFit="1" customWidth="1"/>
    <col min="5385" max="5385" width="11.44140625" style="353"/>
    <col min="5386" max="5386" width="15.44140625" style="353" bestFit="1" customWidth="1"/>
    <col min="5387" max="5625" width="11.44140625" style="353"/>
    <col min="5626" max="5626" width="21.77734375" style="353" customWidth="1"/>
    <col min="5627" max="5632" width="0" style="353" hidden="1" customWidth="1"/>
    <col min="5633" max="5633" width="13.77734375" style="353" customWidth="1"/>
    <col min="5634" max="5634" width="11.44140625" style="353"/>
    <col min="5635" max="5635" width="0" style="353" hidden="1" customWidth="1"/>
    <col min="5636" max="5637" width="11.44140625" style="353"/>
    <col min="5638" max="5638" width="12.44140625" style="353" bestFit="1" customWidth="1"/>
    <col min="5639" max="5639" width="9.21875" style="353" bestFit="1" customWidth="1"/>
    <col min="5640" max="5640" width="11" style="353" bestFit="1" customWidth="1"/>
    <col min="5641" max="5641" width="11.44140625" style="353"/>
    <col min="5642" max="5642" width="15.44140625" style="353" bestFit="1" customWidth="1"/>
    <col min="5643" max="5881" width="11.44140625" style="353"/>
    <col min="5882" max="5882" width="21.77734375" style="353" customWidth="1"/>
    <col min="5883" max="5888" width="0" style="353" hidden="1" customWidth="1"/>
    <col min="5889" max="5889" width="13.77734375" style="353" customWidth="1"/>
    <col min="5890" max="5890" width="11.44140625" style="353"/>
    <col min="5891" max="5891" width="0" style="353" hidden="1" customWidth="1"/>
    <col min="5892" max="5893" width="11.44140625" style="353"/>
    <col min="5894" max="5894" width="12.44140625" style="353" bestFit="1" customWidth="1"/>
    <col min="5895" max="5895" width="9.21875" style="353" bestFit="1" customWidth="1"/>
    <col min="5896" max="5896" width="11" style="353" bestFit="1" customWidth="1"/>
    <col min="5897" max="5897" width="11.44140625" style="353"/>
    <col min="5898" max="5898" width="15.44140625" style="353" bestFit="1" customWidth="1"/>
    <col min="5899" max="6137" width="11.44140625" style="353"/>
    <col min="6138" max="6138" width="21.77734375" style="353" customWidth="1"/>
    <col min="6139" max="6144" width="0" style="353" hidden="1" customWidth="1"/>
    <col min="6145" max="6145" width="13.77734375" style="353" customWidth="1"/>
    <col min="6146" max="6146" width="11.44140625" style="353"/>
    <col min="6147" max="6147" width="0" style="353" hidden="1" customWidth="1"/>
    <col min="6148" max="6149" width="11.44140625" style="353"/>
    <col min="6150" max="6150" width="12.44140625" style="353" bestFit="1" customWidth="1"/>
    <col min="6151" max="6151" width="9.21875" style="353" bestFit="1" customWidth="1"/>
    <col min="6152" max="6152" width="11" style="353" bestFit="1" customWidth="1"/>
    <col min="6153" max="6153" width="11.44140625" style="353"/>
    <col min="6154" max="6154" width="15.44140625" style="353" bestFit="1" customWidth="1"/>
    <col min="6155" max="6393" width="11.44140625" style="353"/>
    <col min="6394" max="6394" width="21.77734375" style="353" customWidth="1"/>
    <col min="6395" max="6400" width="0" style="353" hidden="1" customWidth="1"/>
    <col min="6401" max="6401" width="13.77734375" style="353" customWidth="1"/>
    <col min="6402" max="6402" width="11.44140625" style="353"/>
    <col min="6403" max="6403" width="0" style="353" hidden="1" customWidth="1"/>
    <col min="6404" max="6405" width="11.44140625" style="353"/>
    <col min="6406" max="6406" width="12.44140625" style="353" bestFit="1" customWidth="1"/>
    <col min="6407" max="6407" width="9.21875" style="353" bestFit="1" customWidth="1"/>
    <col min="6408" max="6408" width="11" style="353" bestFit="1" customWidth="1"/>
    <col min="6409" max="6409" width="11.44140625" style="353"/>
    <col min="6410" max="6410" width="15.44140625" style="353" bestFit="1" customWidth="1"/>
    <col min="6411" max="6649" width="11.44140625" style="353"/>
    <col min="6650" max="6650" width="21.77734375" style="353" customWidth="1"/>
    <col min="6651" max="6656" width="0" style="353" hidden="1" customWidth="1"/>
    <col min="6657" max="6657" width="13.77734375" style="353" customWidth="1"/>
    <col min="6658" max="6658" width="11.44140625" style="353"/>
    <col min="6659" max="6659" width="0" style="353" hidden="1" customWidth="1"/>
    <col min="6660" max="6661" width="11.44140625" style="353"/>
    <col min="6662" max="6662" width="12.44140625" style="353" bestFit="1" customWidth="1"/>
    <col min="6663" max="6663" width="9.21875" style="353" bestFit="1" customWidth="1"/>
    <col min="6664" max="6664" width="11" style="353" bestFit="1" customWidth="1"/>
    <col min="6665" max="6665" width="11.44140625" style="353"/>
    <col min="6666" max="6666" width="15.44140625" style="353" bestFit="1" customWidth="1"/>
    <col min="6667" max="6905" width="11.44140625" style="353"/>
    <col min="6906" max="6906" width="21.77734375" style="353" customWidth="1"/>
    <col min="6907" max="6912" width="0" style="353" hidden="1" customWidth="1"/>
    <col min="6913" max="6913" width="13.77734375" style="353" customWidth="1"/>
    <col min="6914" max="6914" width="11.44140625" style="353"/>
    <col min="6915" max="6915" width="0" style="353" hidden="1" customWidth="1"/>
    <col min="6916" max="6917" width="11.44140625" style="353"/>
    <col min="6918" max="6918" width="12.44140625" style="353" bestFit="1" customWidth="1"/>
    <col min="6919" max="6919" width="9.21875" style="353" bestFit="1" customWidth="1"/>
    <col min="6920" max="6920" width="11" style="353" bestFit="1" customWidth="1"/>
    <col min="6921" max="6921" width="11.44140625" style="353"/>
    <col min="6922" max="6922" width="15.44140625" style="353" bestFit="1" customWidth="1"/>
    <col min="6923" max="7161" width="11.44140625" style="353"/>
    <col min="7162" max="7162" width="21.77734375" style="353" customWidth="1"/>
    <col min="7163" max="7168" width="0" style="353" hidden="1" customWidth="1"/>
    <col min="7169" max="7169" width="13.77734375" style="353" customWidth="1"/>
    <col min="7170" max="7170" width="11.44140625" style="353"/>
    <col min="7171" max="7171" width="0" style="353" hidden="1" customWidth="1"/>
    <col min="7172" max="7173" width="11.44140625" style="353"/>
    <col min="7174" max="7174" width="12.44140625" style="353" bestFit="1" customWidth="1"/>
    <col min="7175" max="7175" width="9.21875" style="353" bestFit="1" customWidth="1"/>
    <col min="7176" max="7176" width="11" style="353" bestFit="1" customWidth="1"/>
    <col min="7177" max="7177" width="11.44140625" style="353"/>
    <col min="7178" max="7178" width="15.44140625" style="353" bestFit="1" customWidth="1"/>
    <col min="7179" max="7417" width="11.44140625" style="353"/>
    <col min="7418" max="7418" width="21.77734375" style="353" customWidth="1"/>
    <col min="7419" max="7424" width="0" style="353" hidden="1" customWidth="1"/>
    <col min="7425" max="7425" width="13.77734375" style="353" customWidth="1"/>
    <col min="7426" max="7426" width="11.44140625" style="353"/>
    <col min="7427" max="7427" width="0" style="353" hidden="1" customWidth="1"/>
    <col min="7428" max="7429" width="11.44140625" style="353"/>
    <col min="7430" max="7430" width="12.44140625" style="353" bestFit="1" customWidth="1"/>
    <col min="7431" max="7431" width="9.21875" style="353" bestFit="1" customWidth="1"/>
    <col min="7432" max="7432" width="11" style="353" bestFit="1" customWidth="1"/>
    <col min="7433" max="7433" width="11.44140625" style="353"/>
    <col min="7434" max="7434" width="15.44140625" style="353" bestFit="1" customWidth="1"/>
    <col min="7435" max="7673" width="11.44140625" style="353"/>
    <col min="7674" max="7674" width="21.77734375" style="353" customWidth="1"/>
    <col min="7675" max="7680" width="0" style="353" hidden="1" customWidth="1"/>
    <col min="7681" max="7681" width="13.77734375" style="353" customWidth="1"/>
    <col min="7682" max="7682" width="11.44140625" style="353"/>
    <col min="7683" max="7683" width="0" style="353" hidden="1" customWidth="1"/>
    <col min="7684" max="7685" width="11.44140625" style="353"/>
    <col min="7686" max="7686" width="12.44140625" style="353" bestFit="1" customWidth="1"/>
    <col min="7687" max="7687" width="9.21875" style="353" bestFit="1" customWidth="1"/>
    <col min="7688" max="7688" width="11" style="353" bestFit="1" customWidth="1"/>
    <col min="7689" max="7689" width="11.44140625" style="353"/>
    <col min="7690" max="7690" width="15.44140625" style="353" bestFit="1" customWidth="1"/>
    <col min="7691" max="7929" width="11.44140625" style="353"/>
    <col min="7930" max="7930" width="21.77734375" style="353" customWidth="1"/>
    <col min="7931" max="7936" width="0" style="353" hidden="1" customWidth="1"/>
    <col min="7937" max="7937" width="13.77734375" style="353" customWidth="1"/>
    <col min="7938" max="7938" width="11.44140625" style="353"/>
    <col min="7939" max="7939" width="0" style="353" hidden="1" customWidth="1"/>
    <col min="7940" max="7941" width="11.44140625" style="353"/>
    <col min="7942" max="7942" width="12.44140625" style="353" bestFit="1" customWidth="1"/>
    <col min="7943" max="7943" width="9.21875" style="353" bestFit="1" customWidth="1"/>
    <col min="7944" max="7944" width="11" style="353" bestFit="1" customWidth="1"/>
    <col min="7945" max="7945" width="11.44140625" style="353"/>
    <col min="7946" max="7946" width="15.44140625" style="353" bestFit="1" customWidth="1"/>
    <col min="7947" max="8185" width="11.44140625" style="353"/>
    <col min="8186" max="8186" width="21.77734375" style="353" customWidth="1"/>
    <col min="8187" max="8192" width="0" style="353" hidden="1" customWidth="1"/>
    <col min="8193" max="8193" width="13.77734375" style="353" customWidth="1"/>
    <col min="8194" max="8194" width="11.44140625" style="353"/>
    <col min="8195" max="8195" width="0" style="353" hidden="1" customWidth="1"/>
    <col min="8196" max="8197" width="11.44140625" style="353"/>
    <col min="8198" max="8198" width="12.44140625" style="353" bestFit="1" customWidth="1"/>
    <col min="8199" max="8199" width="9.21875" style="353" bestFit="1" customWidth="1"/>
    <col min="8200" max="8200" width="11" style="353" bestFit="1" customWidth="1"/>
    <col min="8201" max="8201" width="11.44140625" style="353"/>
    <col min="8202" max="8202" width="15.44140625" style="353" bestFit="1" customWidth="1"/>
    <col min="8203" max="8441" width="11.44140625" style="353"/>
    <col min="8442" max="8442" width="21.77734375" style="353" customWidth="1"/>
    <col min="8443" max="8448" width="0" style="353" hidden="1" customWidth="1"/>
    <col min="8449" max="8449" width="13.77734375" style="353" customWidth="1"/>
    <col min="8450" max="8450" width="11.44140625" style="353"/>
    <col min="8451" max="8451" width="0" style="353" hidden="1" customWidth="1"/>
    <col min="8452" max="8453" width="11.44140625" style="353"/>
    <col min="8454" max="8454" width="12.44140625" style="353" bestFit="1" customWidth="1"/>
    <col min="8455" max="8455" width="9.21875" style="353" bestFit="1" customWidth="1"/>
    <col min="8456" max="8456" width="11" style="353" bestFit="1" customWidth="1"/>
    <col min="8457" max="8457" width="11.44140625" style="353"/>
    <col min="8458" max="8458" width="15.44140625" style="353" bestFit="1" customWidth="1"/>
    <col min="8459" max="8697" width="11.44140625" style="353"/>
    <col min="8698" max="8698" width="21.77734375" style="353" customWidth="1"/>
    <col min="8699" max="8704" width="0" style="353" hidden="1" customWidth="1"/>
    <col min="8705" max="8705" width="13.77734375" style="353" customWidth="1"/>
    <col min="8706" max="8706" width="11.44140625" style="353"/>
    <col min="8707" max="8707" width="0" style="353" hidden="1" customWidth="1"/>
    <col min="8708" max="8709" width="11.44140625" style="353"/>
    <col min="8710" max="8710" width="12.44140625" style="353" bestFit="1" customWidth="1"/>
    <col min="8711" max="8711" width="9.21875" style="353" bestFit="1" customWidth="1"/>
    <col min="8712" max="8712" width="11" style="353" bestFit="1" customWidth="1"/>
    <col min="8713" max="8713" width="11.44140625" style="353"/>
    <col min="8714" max="8714" width="15.44140625" style="353" bestFit="1" customWidth="1"/>
    <col min="8715" max="8953" width="11.44140625" style="353"/>
    <col min="8954" max="8954" width="21.77734375" style="353" customWidth="1"/>
    <col min="8955" max="8960" width="0" style="353" hidden="1" customWidth="1"/>
    <col min="8961" max="8961" width="13.77734375" style="353" customWidth="1"/>
    <col min="8962" max="8962" width="11.44140625" style="353"/>
    <col min="8963" max="8963" width="0" style="353" hidden="1" customWidth="1"/>
    <col min="8964" max="8965" width="11.44140625" style="353"/>
    <col min="8966" max="8966" width="12.44140625" style="353" bestFit="1" customWidth="1"/>
    <col min="8967" max="8967" width="9.21875" style="353" bestFit="1" customWidth="1"/>
    <col min="8968" max="8968" width="11" style="353" bestFit="1" customWidth="1"/>
    <col min="8969" max="8969" width="11.44140625" style="353"/>
    <col min="8970" max="8970" width="15.44140625" style="353" bestFit="1" customWidth="1"/>
    <col min="8971" max="9209" width="11.44140625" style="353"/>
    <col min="9210" max="9210" width="21.77734375" style="353" customWidth="1"/>
    <col min="9211" max="9216" width="0" style="353" hidden="1" customWidth="1"/>
    <col min="9217" max="9217" width="13.77734375" style="353" customWidth="1"/>
    <col min="9218" max="9218" width="11.44140625" style="353"/>
    <col min="9219" max="9219" width="0" style="353" hidden="1" customWidth="1"/>
    <col min="9220" max="9221" width="11.44140625" style="353"/>
    <col min="9222" max="9222" width="12.44140625" style="353" bestFit="1" customWidth="1"/>
    <col min="9223" max="9223" width="9.21875" style="353" bestFit="1" customWidth="1"/>
    <col min="9224" max="9224" width="11" style="353" bestFit="1" customWidth="1"/>
    <col min="9225" max="9225" width="11.44140625" style="353"/>
    <col min="9226" max="9226" width="15.44140625" style="353" bestFit="1" customWidth="1"/>
    <col min="9227" max="9465" width="11.44140625" style="353"/>
    <col min="9466" max="9466" width="21.77734375" style="353" customWidth="1"/>
    <col min="9467" max="9472" width="0" style="353" hidden="1" customWidth="1"/>
    <col min="9473" max="9473" width="13.77734375" style="353" customWidth="1"/>
    <col min="9474" max="9474" width="11.44140625" style="353"/>
    <col min="9475" max="9475" width="0" style="353" hidden="1" customWidth="1"/>
    <col min="9476" max="9477" width="11.44140625" style="353"/>
    <col min="9478" max="9478" width="12.44140625" style="353" bestFit="1" customWidth="1"/>
    <col min="9479" max="9479" width="9.21875" style="353" bestFit="1" customWidth="1"/>
    <col min="9480" max="9480" width="11" style="353" bestFit="1" customWidth="1"/>
    <col min="9481" max="9481" width="11.44140625" style="353"/>
    <col min="9482" max="9482" width="15.44140625" style="353" bestFit="1" customWidth="1"/>
    <col min="9483" max="9721" width="11.44140625" style="353"/>
    <col min="9722" max="9722" width="21.77734375" style="353" customWidth="1"/>
    <col min="9723" max="9728" width="0" style="353" hidden="1" customWidth="1"/>
    <col min="9729" max="9729" width="13.77734375" style="353" customWidth="1"/>
    <col min="9730" max="9730" width="11.44140625" style="353"/>
    <col min="9731" max="9731" width="0" style="353" hidden="1" customWidth="1"/>
    <col min="9732" max="9733" width="11.44140625" style="353"/>
    <col min="9734" max="9734" width="12.44140625" style="353" bestFit="1" customWidth="1"/>
    <col min="9735" max="9735" width="9.21875" style="353" bestFit="1" customWidth="1"/>
    <col min="9736" max="9736" width="11" style="353" bestFit="1" customWidth="1"/>
    <col min="9737" max="9737" width="11.44140625" style="353"/>
    <col min="9738" max="9738" width="15.44140625" style="353" bestFit="1" customWidth="1"/>
    <col min="9739" max="9977" width="11.44140625" style="353"/>
    <col min="9978" max="9978" width="21.77734375" style="353" customWidth="1"/>
    <col min="9979" max="9984" width="0" style="353" hidden="1" customWidth="1"/>
    <col min="9985" max="9985" width="13.77734375" style="353" customWidth="1"/>
    <col min="9986" max="9986" width="11.44140625" style="353"/>
    <col min="9987" max="9987" width="0" style="353" hidden="1" customWidth="1"/>
    <col min="9988" max="9989" width="11.44140625" style="353"/>
    <col min="9990" max="9990" width="12.44140625" style="353" bestFit="1" customWidth="1"/>
    <col min="9991" max="9991" width="9.21875" style="353" bestFit="1" customWidth="1"/>
    <col min="9992" max="9992" width="11" style="353" bestFit="1" customWidth="1"/>
    <col min="9993" max="9993" width="11.44140625" style="353"/>
    <col min="9994" max="9994" width="15.44140625" style="353" bestFit="1" customWidth="1"/>
    <col min="9995" max="10233" width="11.44140625" style="353"/>
    <col min="10234" max="10234" width="21.77734375" style="353" customWidth="1"/>
    <col min="10235" max="10240" width="0" style="353" hidden="1" customWidth="1"/>
    <col min="10241" max="10241" width="13.77734375" style="353" customWidth="1"/>
    <col min="10242" max="10242" width="11.44140625" style="353"/>
    <col min="10243" max="10243" width="0" style="353" hidden="1" customWidth="1"/>
    <col min="10244" max="10245" width="11.44140625" style="353"/>
    <col min="10246" max="10246" width="12.44140625" style="353" bestFit="1" customWidth="1"/>
    <col min="10247" max="10247" width="9.21875" style="353" bestFit="1" customWidth="1"/>
    <col min="10248" max="10248" width="11" style="353" bestFit="1" customWidth="1"/>
    <col min="10249" max="10249" width="11.44140625" style="353"/>
    <col min="10250" max="10250" width="15.44140625" style="353" bestFit="1" customWidth="1"/>
    <col min="10251" max="10489" width="11.44140625" style="353"/>
    <col min="10490" max="10490" width="21.77734375" style="353" customWidth="1"/>
    <col min="10491" max="10496" width="0" style="353" hidden="1" customWidth="1"/>
    <col min="10497" max="10497" width="13.77734375" style="353" customWidth="1"/>
    <col min="10498" max="10498" width="11.44140625" style="353"/>
    <col min="10499" max="10499" width="0" style="353" hidden="1" customWidth="1"/>
    <col min="10500" max="10501" width="11.44140625" style="353"/>
    <col min="10502" max="10502" width="12.44140625" style="353" bestFit="1" customWidth="1"/>
    <col min="10503" max="10503" width="9.21875" style="353" bestFit="1" customWidth="1"/>
    <col min="10504" max="10504" width="11" style="353" bestFit="1" customWidth="1"/>
    <col min="10505" max="10505" width="11.44140625" style="353"/>
    <col min="10506" max="10506" width="15.44140625" style="353" bestFit="1" customWidth="1"/>
    <col min="10507" max="10745" width="11.44140625" style="353"/>
    <col min="10746" max="10746" width="21.77734375" style="353" customWidth="1"/>
    <col min="10747" max="10752" width="0" style="353" hidden="1" customWidth="1"/>
    <col min="10753" max="10753" width="13.77734375" style="353" customWidth="1"/>
    <col min="10754" max="10754" width="11.44140625" style="353"/>
    <col min="10755" max="10755" width="0" style="353" hidden="1" customWidth="1"/>
    <col min="10756" max="10757" width="11.44140625" style="353"/>
    <col min="10758" max="10758" width="12.44140625" style="353" bestFit="1" customWidth="1"/>
    <col min="10759" max="10759" width="9.21875" style="353" bestFit="1" customWidth="1"/>
    <col min="10760" max="10760" width="11" style="353" bestFit="1" customWidth="1"/>
    <col min="10761" max="10761" width="11.44140625" style="353"/>
    <col min="10762" max="10762" width="15.44140625" style="353" bestFit="1" customWidth="1"/>
    <col min="10763" max="11001" width="11.44140625" style="353"/>
    <col min="11002" max="11002" width="21.77734375" style="353" customWidth="1"/>
    <col min="11003" max="11008" width="0" style="353" hidden="1" customWidth="1"/>
    <col min="11009" max="11009" width="13.77734375" style="353" customWidth="1"/>
    <col min="11010" max="11010" width="11.44140625" style="353"/>
    <col min="11011" max="11011" width="0" style="353" hidden="1" customWidth="1"/>
    <col min="11012" max="11013" width="11.44140625" style="353"/>
    <col min="11014" max="11014" width="12.44140625" style="353" bestFit="1" customWidth="1"/>
    <col min="11015" max="11015" width="9.21875" style="353" bestFit="1" customWidth="1"/>
    <col min="11016" max="11016" width="11" style="353" bestFit="1" customWidth="1"/>
    <col min="11017" max="11017" width="11.44140625" style="353"/>
    <col min="11018" max="11018" width="15.44140625" style="353" bestFit="1" customWidth="1"/>
    <col min="11019" max="11257" width="11.44140625" style="353"/>
    <col min="11258" max="11258" width="21.77734375" style="353" customWidth="1"/>
    <col min="11259" max="11264" width="0" style="353" hidden="1" customWidth="1"/>
    <col min="11265" max="11265" width="13.77734375" style="353" customWidth="1"/>
    <col min="11266" max="11266" width="11.44140625" style="353"/>
    <col min="11267" max="11267" width="0" style="353" hidden="1" customWidth="1"/>
    <col min="11268" max="11269" width="11.44140625" style="353"/>
    <col min="11270" max="11270" width="12.44140625" style="353" bestFit="1" customWidth="1"/>
    <col min="11271" max="11271" width="9.21875" style="353" bestFit="1" customWidth="1"/>
    <col min="11272" max="11272" width="11" style="353" bestFit="1" customWidth="1"/>
    <col min="11273" max="11273" width="11.44140625" style="353"/>
    <col min="11274" max="11274" width="15.44140625" style="353" bestFit="1" customWidth="1"/>
    <col min="11275" max="11513" width="11.44140625" style="353"/>
    <col min="11514" max="11514" width="21.77734375" style="353" customWidth="1"/>
    <col min="11515" max="11520" width="0" style="353" hidden="1" customWidth="1"/>
    <col min="11521" max="11521" width="13.77734375" style="353" customWidth="1"/>
    <col min="11522" max="11522" width="11.44140625" style="353"/>
    <col min="11523" max="11523" width="0" style="353" hidden="1" customWidth="1"/>
    <col min="11524" max="11525" width="11.44140625" style="353"/>
    <col min="11526" max="11526" width="12.44140625" style="353" bestFit="1" customWidth="1"/>
    <col min="11527" max="11527" width="9.21875" style="353" bestFit="1" customWidth="1"/>
    <col min="11528" max="11528" width="11" style="353" bestFit="1" customWidth="1"/>
    <col min="11529" max="11529" width="11.44140625" style="353"/>
    <col min="11530" max="11530" width="15.44140625" style="353" bestFit="1" customWidth="1"/>
    <col min="11531" max="11769" width="11.44140625" style="353"/>
    <col min="11770" max="11770" width="21.77734375" style="353" customWidth="1"/>
    <col min="11771" max="11776" width="0" style="353" hidden="1" customWidth="1"/>
    <col min="11777" max="11777" width="13.77734375" style="353" customWidth="1"/>
    <col min="11778" max="11778" width="11.44140625" style="353"/>
    <col min="11779" max="11779" width="0" style="353" hidden="1" customWidth="1"/>
    <col min="11780" max="11781" width="11.44140625" style="353"/>
    <col min="11782" max="11782" width="12.44140625" style="353" bestFit="1" customWidth="1"/>
    <col min="11783" max="11783" width="9.21875" style="353" bestFit="1" customWidth="1"/>
    <col min="11784" max="11784" width="11" style="353" bestFit="1" customWidth="1"/>
    <col min="11785" max="11785" width="11.44140625" style="353"/>
    <col min="11786" max="11786" width="15.44140625" style="353" bestFit="1" customWidth="1"/>
    <col min="11787" max="12025" width="11.44140625" style="353"/>
    <col min="12026" max="12026" width="21.77734375" style="353" customWidth="1"/>
    <col min="12027" max="12032" width="0" style="353" hidden="1" customWidth="1"/>
    <col min="12033" max="12033" width="13.77734375" style="353" customWidth="1"/>
    <col min="12034" max="12034" width="11.44140625" style="353"/>
    <col min="12035" max="12035" width="0" style="353" hidden="1" customWidth="1"/>
    <col min="12036" max="12037" width="11.44140625" style="353"/>
    <col min="12038" max="12038" width="12.44140625" style="353" bestFit="1" customWidth="1"/>
    <col min="12039" max="12039" width="9.21875" style="353" bestFit="1" customWidth="1"/>
    <col min="12040" max="12040" width="11" style="353" bestFit="1" customWidth="1"/>
    <col min="12041" max="12041" width="11.44140625" style="353"/>
    <col min="12042" max="12042" width="15.44140625" style="353" bestFit="1" customWidth="1"/>
    <col min="12043" max="12281" width="11.44140625" style="353"/>
    <col min="12282" max="12282" width="21.77734375" style="353" customWidth="1"/>
    <col min="12283" max="12288" width="0" style="353" hidden="1" customWidth="1"/>
    <col min="12289" max="12289" width="13.77734375" style="353" customWidth="1"/>
    <col min="12290" max="12290" width="11.44140625" style="353"/>
    <col min="12291" max="12291" width="0" style="353" hidden="1" customWidth="1"/>
    <col min="12292" max="12293" width="11.44140625" style="353"/>
    <col min="12294" max="12294" width="12.44140625" style="353" bestFit="1" customWidth="1"/>
    <col min="12295" max="12295" width="9.21875" style="353" bestFit="1" customWidth="1"/>
    <col min="12296" max="12296" width="11" style="353" bestFit="1" customWidth="1"/>
    <col min="12297" max="12297" width="11.44140625" style="353"/>
    <col min="12298" max="12298" width="15.44140625" style="353" bestFit="1" customWidth="1"/>
    <col min="12299" max="12537" width="11.44140625" style="353"/>
    <col min="12538" max="12538" width="21.77734375" style="353" customWidth="1"/>
    <col min="12539" max="12544" width="0" style="353" hidden="1" customWidth="1"/>
    <col min="12545" max="12545" width="13.77734375" style="353" customWidth="1"/>
    <col min="12546" max="12546" width="11.44140625" style="353"/>
    <col min="12547" max="12547" width="0" style="353" hidden="1" customWidth="1"/>
    <col min="12548" max="12549" width="11.44140625" style="353"/>
    <col min="12550" max="12550" width="12.44140625" style="353" bestFit="1" customWidth="1"/>
    <col min="12551" max="12551" width="9.21875" style="353" bestFit="1" customWidth="1"/>
    <col min="12552" max="12552" width="11" style="353" bestFit="1" customWidth="1"/>
    <col min="12553" max="12553" width="11.44140625" style="353"/>
    <col min="12554" max="12554" width="15.44140625" style="353" bestFit="1" customWidth="1"/>
    <col min="12555" max="12793" width="11.44140625" style="353"/>
    <col min="12794" max="12794" width="21.77734375" style="353" customWidth="1"/>
    <col min="12795" max="12800" width="0" style="353" hidden="1" customWidth="1"/>
    <col min="12801" max="12801" width="13.77734375" style="353" customWidth="1"/>
    <col min="12802" max="12802" width="11.44140625" style="353"/>
    <col min="12803" max="12803" width="0" style="353" hidden="1" customWidth="1"/>
    <col min="12804" max="12805" width="11.44140625" style="353"/>
    <col min="12806" max="12806" width="12.44140625" style="353" bestFit="1" customWidth="1"/>
    <col min="12807" max="12807" width="9.21875" style="353" bestFit="1" customWidth="1"/>
    <col min="12808" max="12808" width="11" style="353" bestFit="1" customWidth="1"/>
    <col min="12809" max="12809" width="11.44140625" style="353"/>
    <col min="12810" max="12810" width="15.44140625" style="353" bestFit="1" customWidth="1"/>
    <col min="12811" max="13049" width="11.44140625" style="353"/>
    <col min="13050" max="13050" width="21.77734375" style="353" customWidth="1"/>
    <col min="13051" max="13056" width="0" style="353" hidden="1" customWidth="1"/>
    <col min="13057" max="13057" width="13.77734375" style="353" customWidth="1"/>
    <col min="13058" max="13058" width="11.44140625" style="353"/>
    <col min="13059" max="13059" width="0" style="353" hidden="1" customWidth="1"/>
    <col min="13060" max="13061" width="11.44140625" style="353"/>
    <col min="13062" max="13062" width="12.44140625" style="353" bestFit="1" customWidth="1"/>
    <col min="13063" max="13063" width="9.21875" style="353" bestFit="1" customWidth="1"/>
    <col min="13064" max="13064" width="11" style="353" bestFit="1" customWidth="1"/>
    <col min="13065" max="13065" width="11.44140625" style="353"/>
    <col min="13066" max="13066" width="15.44140625" style="353" bestFit="1" customWidth="1"/>
    <col min="13067" max="13305" width="11.44140625" style="353"/>
    <col min="13306" max="13306" width="21.77734375" style="353" customWidth="1"/>
    <col min="13307" max="13312" width="0" style="353" hidden="1" customWidth="1"/>
    <col min="13313" max="13313" width="13.77734375" style="353" customWidth="1"/>
    <col min="13314" max="13314" width="11.44140625" style="353"/>
    <col min="13315" max="13315" width="0" style="353" hidden="1" customWidth="1"/>
    <col min="13316" max="13317" width="11.44140625" style="353"/>
    <col min="13318" max="13318" width="12.44140625" style="353" bestFit="1" customWidth="1"/>
    <col min="13319" max="13319" width="9.21875" style="353" bestFit="1" customWidth="1"/>
    <col min="13320" max="13320" width="11" style="353" bestFit="1" customWidth="1"/>
    <col min="13321" max="13321" width="11.44140625" style="353"/>
    <col min="13322" max="13322" width="15.44140625" style="353" bestFit="1" customWidth="1"/>
    <col min="13323" max="13561" width="11.44140625" style="353"/>
    <col min="13562" max="13562" width="21.77734375" style="353" customWidth="1"/>
    <col min="13563" max="13568" width="0" style="353" hidden="1" customWidth="1"/>
    <col min="13569" max="13569" width="13.77734375" style="353" customWidth="1"/>
    <col min="13570" max="13570" width="11.44140625" style="353"/>
    <col min="13571" max="13571" width="0" style="353" hidden="1" customWidth="1"/>
    <col min="13572" max="13573" width="11.44140625" style="353"/>
    <col min="13574" max="13574" width="12.44140625" style="353" bestFit="1" customWidth="1"/>
    <col min="13575" max="13575" width="9.21875" style="353" bestFit="1" customWidth="1"/>
    <col min="13576" max="13576" width="11" style="353" bestFit="1" customWidth="1"/>
    <col min="13577" max="13577" width="11.44140625" style="353"/>
    <col min="13578" max="13578" width="15.44140625" style="353" bestFit="1" customWidth="1"/>
    <col min="13579" max="13817" width="11.44140625" style="353"/>
    <col min="13818" max="13818" width="21.77734375" style="353" customWidth="1"/>
    <col min="13819" max="13824" width="0" style="353" hidden="1" customWidth="1"/>
    <col min="13825" max="13825" width="13.77734375" style="353" customWidth="1"/>
    <col min="13826" max="13826" width="11.44140625" style="353"/>
    <col min="13827" max="13827" width="0" style="353" hidden="1" customWidth="1"/>
    <col min="13828" max="13829" width="11.44140625" style="353"/>
    <col min="13830" max="13830" width="12.44140625" style="353" bestFit="1" customWidth="1"/>
    <col min="13831" max="13831" width="9.21875" style="353" bestFit="1" customWidth="1"/>
    <col min="13832" max="13832" width="11" style="353" bestFit="1" customWidth="1"/>
    <col min="13833" max="13833" width="11.44140625" style="353"/>
    <col min="13834" max="13834" width="15.44140625" style="353" bestFit="1" customWidth="1"/>
    <col min="13835" max="14073" width="11.44140625" style="353"/>
    <col min="14074" max="14074" width="21.77734375" style="353" customWidth="1"/>
    <col min="14075" max="14080" width="0" style="353" hidden="1" customWidth="1"/>
    <col min="14081" max="14081" width="13.77734375" style="353" customWidth="1"/>
    <col min="14082" max="14082" width="11.44140625" style="353"/>
    <col min="14083" max="14083" width="0" style="353" hidden="1" customWidth="1"/>
    <col min="14084" max="14085" width="11.44140625" style="353"/>
    <col min="14086" max="14086" width="12.44140625" style="353" bestFit="1" customWidth="1"/>
    <col min="14087" max="14087" width="9.21875" style="353" bestFit="1" customWidth="1"/>
    <col min="14088" max="14088" width="11" style="353" bestFit="1" customWidth="1"/>
    <col min="14089" max="14089" width="11.44140625" style="353"/>
    <col min="14090" max="14090" width="15.44140625" style="353" bestFit="1" customWidth="1"/>
    <col min="14091" max="14329" width="11.44140625" style="353"/>
    <col min="14330" max="14330" width="21.77734375" style="353" customWidth="1"/>
    <col min="14331" max="14336" width="0" style="353" hidden="1" customWidth="1"/>
    <col min="14337" max="14337" width="13.77734375" style="353" customWidth="1"/>
    <col min="14338" max="14338" width="11.44140625" style="353"/>
    <col min="14339" max="14339" width="0" style="353" hidden="1" customWidth="1"/>
    <col min="14340" max="14341" width="11.44140625" style="353"/>
    <col min="14342" max="14342" width="12.44140625" style="353" bestFit="1" customWidth="1"/>
    <col min="14343" max="14343" width="9.21875" style="353" bestFit="1" customWidth="1"/>
    <col min="14344" max="14344" width="11" style="353" bestFit="1" customWidth="1"/>
    <col min="14345" max="14345" width="11.44140625" style="353"/>
    <col min="14346" max="14346" width="15.44140625" style="353" bestFit="1" customWidth="1"/>
    <col min="14347" max="14585" width="11.44140625" style="353"/>
    <col min="14586" max="14586" width="21.77734375" style="353" customWidth="1"/>
    <col min="14587" max="14592" width="0" style="353" hidden="1" customWidth="1"/>
    <col min="14593" max="14593" width="13.77734375" style="353" customWidth="1"/>
    <col min="14594" max="14594" width="11.44140625" style="353"/>
    <col min="14595" max="14595" width="0" style="353" hidden="1" customWidth="1"/>
    <col min="14596" max="14597" width="11.44140625" style="353"/>
    <col min="14598" max="14598" width="12.44140625" style="353" bestFit="1" customWidth="1"/>
    <col min="14599" max="14599" width="9.21875" style="353" bestFit="1" customWidth="1"/>
    <col min="14600" max="14600" width="11" style="353" bestFit="1" customWidth="1"/>
    <col min="14601" max="14601" width="11.44140625" style="353"/>
    <col min="14602" max="14602" width="15.44140625" style="353" bestFit="1" customWidth="1"/>
    <col min="14603" max="14841" width="11.44140625" style="353"/>
    <col min="14842" max="14842" width="21.77734375" style="353" customWidth="1"/>
    <col min="14843" max="14848" width="0" style="353" hidden="1" customWidth="1"/>
    <col min="14849" max="14849" width="13.77734375" style="353" customWidth="1"/>
    <col min="14850" max="14850" width="11.44140625" style="353"/>
    <col min="14851" max="14851" width="0" style="353" hidden="1" customWidth="1"/>
    <col min="14852" max="14853" width="11.44140625" style="353"/>
    <col min="14854" max="14854" width="12.44140625" style="353" bestFit="1" customWidth="1"/>
    <col min="14855" max="14855" width="9.21875" style="353" bestFit="1" customWidth="1"/>
    <col min="14856" max="14856" width="11" style="353" bestFit="1" customWidth="1"/>
    <col min="14857" max="14857" width="11.44140625" style="353"/>
    <col min="14858" max="14858" width="15.44140625" style="353" bestFit="1" customWidth="1"/>
    <col min="14859" max="15097" width="11.44140625" style="353"/>
    <col min="15098" max="15098" width="21.77734375" style="353" customWidth="1"/>
    <col min="15099" max="15104" width="0" style="353" hidden="1" customWidth="1"/>
    <col min="15105" max="15105" width="13.77734375" style="353" customWidth="1"/>
    <col min="15106" max="15106" width="11.44140625" style="353"/>
    <col min="15107" max="15107" width="0" style="353" hidden="1" customWidth="1"/>
    <col min="15108" max="15109" width="11.44140625" style="353"/>
    <col min="15110" max="15110" width="12.44140625" style="353" bestFit="1" customWidth="1"/>
    <col min="15111" max="15111" width="9.21875" style="353" bestFit="1" customWidth="1"/>
    <col min="15112" max="15112" width="11" style="353" bestFit="1" customWidth="1"/>
    <col min="15113" max="15113" width="11.44140625" style="353"/>
    <col min="15114" max="15114" width="15.44140625" style="353" bestFit="1" customWidth="1"/>
    <col min="15115" max="15353" width="11.44140625" style="353"/>
    <col min="15354" max="15354" width="21.77734375" style="353" customWidth="1"/>
    <col min="15355" max="15360" width="0" style="353" hidden="1" customWidth="1"/>
    <col min="15361" max="15361" width="13.77734375" style="353" customWidth="1"/>
    <col min="15362" max="15362" width="11.44140625" style="353"/>
    <col min="15363" max="15363" width="0" style="353" hidden="1" customWidth="1"/>
    <col min="15364" max="15365" width="11.44140625" style="353"/>
    <col min="15366" max="15366" width="12.44140625" style="353" bestFit="1" customWidth="1"/>
    <col min="15367" max="15367" width="9.21875" style="353" bestFit="1" customWidth="1"/>
    <col min="15368" max="15368" width="11" style="353" bestFit="1" customWidth="1"/>
    <col min="15369" max="15369" width="11.44140625" style="353"/>
    <col min="15370" max="15370" width="15.44140625" style="353" bestFit="1" customWidth="1"/>
    <col min="15371" max="15609" width="11.44140625" style="353"/>
    <col min="15610" max="15610" width="21.77734375" style="353" customWidth="1"/>
    <col min="15611" max="15616" width="0" style="353" hidden="1" customWidth="1"/>
    <col min="15617" max="15617" width="13.77734375" style="353" customWidth="1"/>
    <col min="15618" max="15618" width="11.44140625" style="353"/>
    <col min="15619" max="15619" width="0" style="353" hidden="1" customWidth="1"/>
    <col min="15620" max="15621" width="11.44140625" style="353"/>
    <col min="15622" max="15622" width="12.44140625" style="353" bestFit="1" customWidth="1"/>
    <col min="15623" max="15623" width="9.21875" style="353" bestFit="1" customWidth="1"/>
    <col min="15624" max="15624" width="11" style="353" bestFit="1" customWidth="1"/>
    <col min="15625" max="15625" width="11.44140625" style="353"/>
    <col min="15626" max="15626" width="15.44140625" style="353" bestFit="1" customWidth="1"/>
    <col min="15627" max="15865" width="11.44140625" style="353"/>
    <col min="15866" max="15866" width="21.77734375" style="353" customWidth="1"/>
    <col min="15867" max="15872" width="0" style="353" hidden="1" customWidth="1"/>
    <col min="15873" max="15873" width="13.77734375" style="353" customWidth="1"/>
    <col min="15874" max="15874" width="11.44140625" style="353"/>
    <col min="15875" max="15875" width="0" style="353" hidden="1" customWidth="1"/>
    <col min="15876" max="15877" width="11.44140625" style="353"/>
    <col min="15878" max="15878" width="12.44140625" style="353" bestFit="1" customWidth="1"/>
    <col min="15879" max="15879" width="9.21875" style="353" bestFit="1" customWidth="1"/>
    <col min="15880" max="15880" width="11" style="353" bestFit="1" customWidth="1"/>
    <col min="15881" max="15881" width="11.44140625" style="353"/>
    <col min="15882" max="15882" width="15.44140625" style="353" bestFit="1" customWidth="1"/>
    <col min="15883" max="16121" width="11.44140625" style="353"/>
    <col min="16122" max="16122" width="21.77734375" style="353" customWidth="1"/>
    <col min="16123" max="16128" width="0" style="353" hidden="1" customWidth="1"/>
    <col min="16129" max="16129" width="13.77734375" style="353" customWidth="1"/>
    <col min="16130" max="16130" width="11.44140625" style="353"/>
    <col min="16131" max="16131" width="0" style="353" hidden="1" customWidth="1"/>
    <col min="16132" max="16133" width="11.44140625" style="353"/>
    <col min="16134" max="16134" width="12.44140625" style="353" bestFit="1" customWidth="1"/>
    <col min="16135" max="16135" width="9.21875" style="353" bestFit="1" customWidth="1"/>
    <col min="16136" max="16136" width="11" style="353" bestFit="1" customWidth="1"/>
    <col min="16137" max="16137" width="11.44140625" style="353"/>
    <col min="16138" max="16138" width="15.44140625" style="353" bestFit="1" customWidth="1"/>
    <col min="16139" max="16383" width="11.44140625" style="353"/>
    <col min="16384" max="16384" width="11.44140625" style="353" customWidth="1"/>
  </cols>
  <sheetData>
    <row r="1" spans="1:7" ht="16.2" thickBot="1" x14ac:dyDescent="0.4">
      <c r="A1" s="412" t="s">
        <v>92</v>
      </c>
      <c r="B1" s="413"/>
      <c r="C1" s="413"/>
      <c r="D1" s="414"/>
      <c r="E1" s="414"/>
      <c r="F1" s="414"/>
    </row>
    <row r="2" spans="1:7" ht="16.2" thickBot="1" x14ac:dyDescent="0.4">
      <c r="A2" s="372"/>
      <c r="B2" s="415">
        <v>2021</v>
      </c>
      <c r="C2" s="415">
        <v>2022</v>
      </c>
      <c r="D2" s="415">
        <v>2023</v>
      </c>
      <c r="E2" s="415">
        <v>2024</v>
      </c>
      <c r="F2" s="416">
        <v>2025</v>
      </c>
      <c r="G2" s="417" t="s">
        <v>94</v>
      </c>
    </row>
    <row r="3" spans="1:7" x14ac:dyDescent="0.35">
      <c r="A3" s="418" t="s">
        <v>90</v>
      </c>
      <c r="B3" s="380">
        <v>40</v>
      </c>
      <c r="C3" s="380">
        <v>48</v>
      </c>
      <c r="D3" s="419">
        <f>BEaH23!M26</f>
        <v>46</v>
      </c>
      <c r="E3" s="419">
        <f>BEaH24!R28+BEaH24!S28</f>
        <v>46</v>
      </c>
      <c r="F3" s="419">
        <f>BEaH25!R28+BEaH25!S28</f>
        <v>33</v>
      </c>
      <c r="G3" s="381">
        <f>AVERAGE(B3:F3)</f>
        <v>42.6</v>
      </c>
    </row>
    <row r="4" spans="1:7" x14ac:dyDescent="0.35">
      <c r="A4" s="420" t="s">
        <v>100</v>
      </c>
      <c r="B4" s="380">
        <v>69</v>
      </c>
      <c r="C4" s="380">
        <v>45</v>
      </c>
      <c r="D4" s="419">
        <f>BEaH23!T26</f>
        <v>40</v>
      </c>
      <c r="E4" s="419">
        <f>BEaH24!AE28+BEaH24!AF28</f>
        <v>53</v>
      </c>
      <c r="F4" s="419">
        <f>BEaH25!AE28+BEaH25!AF28</f>
        <v>39</v>
      </c>
      <c r="G4" s="381">
        <f>AVERAGE(B4:F4)</f>
        <v>49.2</v>
      </c>
    </row>
    <row r="5" spans="1:7" ht="16.2" thickBot="1" x14ac:dyDescent="0.4">
      <c r="A5" s="421" t="s">
        <v>91</v>
      </c>
      <c r="B5" s="401">
        <v>24</v>
      </c>
      <c r="C5" s="401">
        <v>21</v>
      </c>
      <c r="D5" s="422">
        <f>BEaH23!AA26</f>
        <v>20</v>
      </c>
      <c r="E5" s="422">
        <f>BEaH24!AM28</f>
        <v>18</v>
      </c>
      <c r="F5" s="422">
        <f>BEaH25!AM28</f>
        <v>17</v>
      </c>
      <c r="G5" s="423">
        <f t="shared" ref="G5" si="0">AVERAGE(B5:F5)</f>
        <v>20</v>
      </c>
    </row>
  </sheetData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FA35-C40D-4B4D-B689-C984B393E774}">
  <dimension ref="A1:AE4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4" sqref="B44:G44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121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212</v>
      </c>
      <c r="C6" s="97">
        <v>93</v>
      </c>
      <c r="D6" s="97">
        <v>327</v>
      </c>
      <c r="E6" s="137">
        <v>94</v>
      </c>
      <c r="F6" s="97">
        <v>138</v>
      </c>
      <c r="G6" s="98">
        <f>SUM(B6:F6)</f>
        <v>864</v>
      </c>
      <c r="H6" s="97">
        <v>2</v>
      </c>
      <c r="I6" s="97">
        <v>0</v>
      </c>
      <c r="J6" s="97">
        <v>2</v>
      </c>
      <c r="K6" s="97">
        <v>2</v>
      </c>
      <c r="L6" s="97">
        <v>1</v>
      </c>
      <c r="M6" s="101">
        <f t="shared" ref="M6:M11" si="0">SUM(H6:L6)</f>
        <v>7</v>
      </c>
      <c r="N6" s="99">
        <f>M6*100/$G6</f>
        <v>0.81018518518518523</v>
      </c>
      <c r="O6" s="97">
        <v>0</v>
      </c>
      <c r="P6" s="97">
        <v>1</v>
      </c>
      <c r="Q6" s="97">
        <v>2</v>
      </c>
      <c r="R6" s="97">
        <v>3</v>
      </c>
      <c r="S6" s="97">
        <v>0</v>
      </c>
      <c r="T6" s="101">
        <f t="shared" ref="T6:T11" si="1">SUM(O6:S6)</f>
        <v>6</v>
      </c>
      <c r="U6" s="99">
        <f>T6*100/$G6</f>
        <v>0.69444444444444442</v>
      </c>
      <c r="V6" s="97">
        <v>1</v>
      </c>
      <c r="W6" s="97">
        <v>2</v>
      </c>
      <c r="X6" s="97">
        <v>0</v>
      </c>
      <c r="Y6" s="97">
        <v>6</v>
      </c>
      <c r="Z6" s="97">
        <v>0</v>
      </c>
      <c r="AA6" s="101">
        <f t="shared" ref="AA6:AA11" si="2">SUM(V6:Z6)</f>
        <v>9</v>
      </c>
      <c r="AB6" s="99">
        <f>AA6*100/$G6</f>
        <v>1.0416666666666667</v>
      </c>
      <c r="AC6" s="101"/>
      <c r="AD6" s="101">
        <v>1</v>
      </c>
      <c r="AE6" s="101">
        <v>102</v>
      </c>
    </row>
    <row r="7" spans="1:31" ht="14.4" thickBot="1" x14ac:dyDescent="0.3">
      <c r="A7" s="90" t="s">
        <v>2</v>
      </c>
      <c r="B7" s="97">
        <v>1423</v>
      </c>
      <c r="C7" s="97">
        <v>415</v>
      </c>
      <c r="D7" s="97">
        <v>1951</v>
      </c>
      <c r="E7" s="137">
        <v>1401</v>
      </c>
      <c r="F7" s="97">
        <v>813</v>
      </c>
      <c r="G7" s="98">
        <f>SUM(B7:F7)</f>
        <v>6003</v>
      </c>
      <c r="H7" s="97">
        <v>6</v>
      </c>
      <c r="I7" s="97">
        <v>0</v>
      </c>
      <c r="J7" s="97">
        <v>13</v>
      </c>
      <c r="K7" s="97">
        <v>7</v>
      </c>
      <c r="L7" s="97">
        <v>2</v>
      </c>
      <c r="M7" s="97">
        <f t="shared" si="0"/>
        <v>28</v>
      </c>
      <c r="N7" s="99">
        <f t="shared" ref="N7:N11" si="3">M7*100/$G7</f>
        <v>0.46643344994169583</v>
      </c>
      <c r="O7" s="97">
        <v>17</v>
      </c>
      <c r="P7" s="97">
        <v>3</v>
      </c>
      <c r="Q7" s="97">
        <v>12</v>
      </c>
      <c r="R7" s="97">
        <v>12</v>
      </c>
      <c r="S7" s="97">
        <v>4</v>
      </c>
      <c r="T7" s="97">
        <f t="shared" si="1"/>
        <v>48</v>
      </c>
      <c r="U7" s="99">
        <f t="shared" ref="U7:U11" si="4">T7*100/$G7</f>
        <v>0.79960019990004993</v>
      </c>
      <c r="V7" s="97">
        <v>11</v>
      </c>
      <c r="W7" s="97">
        <v>0</v>
      </c>
      <c r="X7" s="97">
        <v>20</v>
      </c>
      <c r="Y7" s="97">
        <v>7</v>
      </c>
      <c r="Z7" s="97">
        <v>2</v>
      </c>
      <c r="AA7" s="97">
        <f t="shared" si="2"/>
        <v>40</v>
      </c>
      <c r="AB7" s="99">
        <f t="shared" ref="AB7:AB11" si="5">AA7*100/$G7</f>
        <v>0.66633349991670832</v>
      </c>
      <c r="AC7" s="101"/>
      <c r="AD7" s="101">
        <v>0</v>
      </c>
      <c r="AE7" s="101">
        <v>252</v>
      </c>
    </row>
    <row r="8" spans="1:31" ht="14.4" thickBot="1" x14ac:dyDescent="0.3">
      <c r="A8" s="90" t="s">
        <v>14</v>
      </c>
      <c r="B8" s="97">
        <v>142</v>
      </c>
      <c r="C8" s="97">
        <v>114</v>
      </c>
      <c r="D8" s="97">
        <v>354</v>
      </c>
      <c r="E8" s="137">
        <v>174</v>
      </c>
      <c r="F8" s="97">
        <v>94</v>
      </c>
      <c r="G8" s="98">
        <f>SUM(B8:F8)</f>
        <v>878</v>
      </c>
      <c r="H8" s="97">
        <v>2</v>
      </c>
      <c r="I8" s="97">
        <v>0</v>
      </c>
      <c r="J8" s="97">
        <v>3</v>
      </c>
      <c r="K8" s="97">
        <v>0</v>
      </c>
      <c r="L8" s="97">
        <v>0</v>
      </c>
      <c r="M8" s="101">
        <f t="shared" si="0"/>
        <v>5</v>
      </c>
      <c r="N8" s="99">
        <f t="shared" si="3"/>
        <v>0.56947608200455579</v>
      </c>
      <c r="O8" s="97">
        <v>1</v>
      </c>
      <c r="P8" s="97">
        <v>1</v>
      </c>
      <c r="Q8" s="97">
        <v>2</v>
      </c>
      <c r="R8" s="97">
        <v>0</v>
      </c>
      <c r="S8" s="97">
        <v>0</v>
      </c>
      <c r="T8" s="101">
        <f t="shared" si="1"/>
        <v>4</v>
      </c>
      <c r="U8" s="99">
        <f t="shared" si="4"/>
        <v>0.45558086560364464</v>
      </c>
      <c r="V8" s="97">
        <v>1</v>
      </c>
      <c r="W8" s="97">
        <v>1</v>
      </c>
      <c r="X8" s="97">
        <v>2</v>
      </c>
      <c r="Y8" s="97">
        <v>0</v>
      </c>
      <c r="Z8" s="97">
        <v>1</v>
      </c>
      <c r="AA8" s="101">
        <f t="shared" si="2"/>
        <v>5</v>
      </c>
      <c r="AB8" s="99">
        <f t="shared" si="5"/>
        <v>0.56947608200455579</v>
      </c>
      <c r="AC8" s="101"/>
      <c r="AD8" s="101">
        <v>0</v>
      </c>
      <c r="AE8" s="101">
        <v>23</v>
      </c>
    </row>
    <row r="9" spans="1:31" ht="14.4" thickBot="1" x14ac:dyDescent="0.3">
      <c r="A9" s="90" t="s">
        <v>3</v>
      </c>
      <c r="B9" s="97">
        <v>220</v>
      </c>
      <c r="C9" s="97">
        <v>101</v>
      </c>
      <c r="D9" s="97">
        <v>339</v>
      </c>
      <c r="E9" s="137">
        <v>258</v>
      </c>
      <c r="F9" s="97">
        <v>110</v>
      </c>
      <c r="G9" s="98">
        <f>SUM(B9:F9)</f>
        <v>1028</v>
      </c>
      <c r="H9" s="97">
        <v>0</v>
      </c>
      <c r="I9" s="97">
        <v>0</v>
      </c>
      <c r="J9" s="97">
        <v>2</v>
      </c>
      <c r="K9" s="97">
        <v>0</v>
      </c>
      <c r="L9" s="97">
        <v>0</v>
      </c>
      <c r="M9" s="97">
        <f t="shared" si="0"/>
        <v>2</v>
      </c>
      <c r="N9" s="99">
        <f t="shared" si="3"/>
        <v>0.19455252918287938</v>
      </c>
      <c r="O9" s="97">
        <v>1</v>
      </c>
      <c r="P9" s="97">
        <v>0</v>
      </c>
      <c r="Q9" s="97">
        <v>5</v>
      </c>
      <c r="R9" s="97">
        <v>5</v>
      </c>
      <c r="S9" s="97">
        <v>0</v>
      </c>
      <c r="T9" s="97">
        <f t="shared" si="1"/>
        <v>11</v>
      </c>
      <c r="U9" s="99">
        <f t="shared" si="4"/>
        <v>1.0700389105058365</v>
      </c>
      <c r="V9" s="97">
        <v>0</v>
      </c>
      <c r="W9" s="97">
        <v>0</v>
      </c>
      <c r="X9" s="97">
        <v>0</v>
      </c>
      <c r="Y9" s="97">
        <v>1</v>
      </c>
      <c r="Z9" s="97">
        <v>1</v>
      </c>
      <c r="AA9" s="97">
        <f t="shared" si="2"/>
        <v>2</v>
      </c>
      <c r="AB9" s="99">
        <f t="shared" si="5"/>
        <v>0.19455252918287938</v>
      </c>
      <c r="AC9" s="101"/>
      <c r="AD9" s="101">
        <v>0</v>
      </c>
      <c r="AE9" s="101">
        <v>0</v>
      </c>
    </row>
    <row r="10" spans="1:31" ht="23.4" thickBot="1" x14ac:dyDescent="0.3">
      <c r="A10" s="139" t="s">
        <v>23</v>
      </c>
      <c r="B10" s="97">
        <v>1150</v>
      </c>
      <c r="C10" s="97">
        <v>247</v>
      </c>
      <c r="D10" s="97">
        <v>1072</v>
      </c>
      <c r="E10" s="137">
        <v>662</v>
      </c>
      <c r="F10" s="97">
        <v>527</v>
      </c>
      <c r="G10" s="98">
        <f>SUM(B10:F10)</f>
        <v>3658</v>
      </c>
      <c r="H10" s="97">
        <v>6</v>
      </c>
      <c r="I10" s="97">
        <v>1</v>
      </c>
      <c r="J10" s="97">
        <v>3</v>
      </c>
      <c r="K10" s="97">
        <v>6</v>
      </c>
      <c r="L10" s="97">
        <v>4</v>
      </c>
      <c r="M10" s="97">
        <f t="shared" si="0"/>
        <v>20</v>
      </c>
      <c r="N10" s="99">
        <f t="shared" si="3"/>
        <v>0.54674685620557684</v>
      </c>
      <c r="O10" s="97">
        <v>9</v>
      </c>
      <c r="P10" s="97">
        <v>1</v>
      </c>
      <c r="Q10" s="97">
        <v>6</v>
      </c>
      <c r="R10" s="97">
        <v>8</v>
      </c>
      <c r="S10" s="97">
        <v>2</v>
      </c>
      <c r="T10" s="97">
        <f t="shared" si="1"/>
        <v>26</v>
      </c>
      <c r="U10" s="99">
        <f t="shared" si="4"/>
        <v>0.71077091306724982</v>
      </c>
      <c r="V10" s="97">
        <v>30</v>
      </c>
      <c r="W10" s="97">
        <v>0</v>
      </c>
      <c r="X10" s="97">
        <v>1</v>
      </c>
      <c r="Y10" s="97">
        <v>6</v>
      </c>
      <c r="Z10" s="97">
        <v>0</v>
      </c>
      <c r="AA10" s="97">
        <f t="shared" si="2"/>
        <v>37</v>
      </c>
      <c r="AB10" s="99">
        <f t="shared" si="5"/>
        <v>1.0114816839803171</v>
      </c>
      <c r="AC10" s="101"/>
      <c r="AD10" s="101">
        <v>1</v>
      </c>
      <c r="AE10" s="101">
        <v>356</v>
      </c>
    </row>
    <row r="11" spans="1:31" s="132" customFormat="1" ht="14.4" thickBot="1" x14ac:dyDescent="0.3">
      <c r="A11" s="124" t="s">
        <v>21</v>
      </c>
      <c r="B11" s="105">
        <f t="shared" ref="B11:L11" si="6">SUM(B6:B10)</f>
        <v>3147</v>
      </c>
      <c r="C11" s="105">
        <f t="shared" si="6"/>
        <v>970</v>
      </c>
      <c r="D11" s="105">
        <f t="shared" si="6"/>
        <v>4043</v>
      </c>
      <c r="E11" s="105">
        <f t="shared" si="6"/>
        <v>2589</v>
      </c>
      <c r="F11" s="105">
        <f t="shared" si="6"/>
        <v>1682</v>
      </c>
      <c r="G11" s="102">
        <f t="shared" si="6"/>
        <v>12431</v>
      </c>
      <c r="H11" s="111">
        <f t="shared" si="6"/>
        <v>16</v>
      </c>
      <c r="I11" s="111">
        <f t="shared" si="6"/>
        <v>1</v>
      </c>
      <c r="J11" s="111">
        <f t="shared" si="6"/>
        <v>23</v>
      </c>
      <c r="K11" s="111">
        <f t="shared" si="6"/>
        <v>15</v>
      </c>
      <c r="L11" s="111">
        <f t="shared" si="6"/>
        <v>7</v>
      </c>
      <c r="M11" s="103">
        <f t="shared" si="0"/>
        <v>62</v>
      </c>
      <c r="N11" s="104">
        <f t="shared" si="3"/>
        <v>0.49875311720698257</v>
      </c>
      <c r="O11" s="111">
        <f t="shared" ref="O11:S11" si="7">SUM(O6:O10)</f>
        <v>28</v>
      </c>
      <c r="P11" s="111">
        <f t="shared" si="7"/>
        <v>6</v>
      </c>
      <c r="Q11" s="111">
        <f t="shared" si="7"/>
        <v>27</v>
      </c>
      <c r="R11" s="111">
        <f t="shared" si="7"/>
        <v>28</v>
      </c>
      <c r="S11" s="111">
        <f t="shared" si="7"/>
        <v>6</v>
      </c>
      <c r="T11" s="103">
        <f t="shared" si="1"/>
        <v>95</v>
      </c>
      <c r="U11" s="104">
        <f t="shared" si="4"/>
        <v>0.76421848604295717</v>
      </c>
      <c r="V11" s="111">
        <f t="shared" ref="V11:Z11" si="8">SUM(V6:V10)</f>
        <v>43</v>
      </c>
      <c r="W11" s="111">
        <f t="shared" si="8"/>
        <v>3</v>
      </c>
      <c r="X11" s="111">
        <f t="shared" si="8"/>
        <v>23</v>
      </c>
      <c r="Y11" s="111">
        <f t="shared" si="8"/>
        <v>20</v>
      </c>
      <c r="Z11" s="111">
        <f t="shared" si="8"/>
        <v>4</v>
      </c>
      <c r="AA11" s="103">
        <f t="shared" si="2"/>
        <v>93</v>
      </c>
      <c r="AB11" s="104">
        <f t="shared" si="5"/>
        <v>0.74812967581047385</v>
      </c>
      <c r="AC11" s="107">
        <f>SUM(AC6:AC10)</f>
        <v>0</v>
      </c>
      <c r="AD11" s="107">
        <f>SUM(AD6:AD10)</f>
        <v>2</v>
      </c>
      <c r="AE11" s="107">
        <f>SUM(AE6:AE10)</f>
        <v>733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35</v>
      </c>
      <c r="C14" s="97">
        <v>10</v>
      </c>
      <c r="D14" s="97">
        <v>46</v>
      </c>
      <c r="E14" s="97">
        <v>23</v>
      </c>
      <c r="F14" s="97">
        <v>27</v>
      </c>
      <c r="G14" s="98">
        <f t="shared" ref="G14:G25" si="9">SUM(B14:F14)</f>
        <v>141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101">
        <f>SUM(H14:L14)</f>
        <v>0</v>
      </c>
      <c r="N14" s="99">
        <f>M14*100/$G14</f>
        <v>0</v>
      </c>
      <c r="O14" s="97">
        <v>0</v>
      </c>
      <c r="P14" s="97">
        <v>0</v>
      </c>
      <c r="Q14" s="97">
        <v>0</v>
      </c>
      <c r="R14" s="97">
        <v>2</v>
      </c>
      <c r="S14" s="97">
        <v>2</v>
      </c>
      <c r="T14" s="101">
        <f>SUM(O14:S14)</f>
        <v>4</v>
      </c>
      <c r="U14" s="99">
        <f>T14*100/$G14</f>
        <v>2.8368794326241136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f>SUM(V14:Z14)</f>
        <v>0</v>
      </c>
      <c r="AB14" s="99">
        <f>AA14*100/$G14</f>
        <v>0</v>
      </c>
      <c r="AC14" s="101"/>
      <c r="AD14" s="101">
        <v>0</v>
      </c>
      <c r="AE14" s="101">
        <v>7</v>
      </c>
    </row>
    <row r="15" spans="1:31" ht="14.4" thickBot="1" x14ac:dyDescent="0.3">
      <c r="A15" s="89" t="s">
        <v>5</v>
      </c>
      <c r="B15" s="97">
        <v>92</v>
      </c>
      <c r="C15" s="97">
        <v>27</v>
      </c>
      <c r="D15" s="97">
        <v>185</v>
      </c>
      <c r="E15" s="97">
        <v>150</v>
      </c>
      <c r="F15" s="97">
        <v>32</v>
      </c>
      <c r="G15" s="98">
        <f t="shared" si="9"/>
        <v>486</v>
      </c>
      <c r="H15" s="97">
        <v>0</v>
      </c>
      <c r="I15" s="97">
        <v>0</v>
      </c>
      <c r="J15" s="97">
        <v>0</v>
      </c>
      <c r="K15" s="97">
        <v>1</v>
      </c>
      <c r="L15" s="97">
        <v>0</v>
      </c>
      <c r="M15" s="97">
        <f t="shared" ref="M15:M25" si="10">SUM(H15:L15)</f>
        <v>1</v>
      </c>
      <c r="N15" s="99">
        <f t="shared" ref="N15:N25" si="11">M15*100/$G15</f>
        <v>0.20576131687242799</v>
      </c>
      <c r="O15" s="97">
        <v>1</v>
      </c>
      <c r="P15" s="97">
        <v>0</v>
      </c>
      <c r="Q15" s="97">
        <v>2</v>
      </c>
      <c r="R15" s="97">
        <v>1</v>
      </c>
      <c r="S15" s="97">
        <v>1</v>
      </c>
      <c r="T15" s="97">
        <f t="shared" ref="T15:T25" si="12">SUM(O15:S15)</f>
        <v>5</v>
      </c>
      <c r="U15" s="99">
        <f t="shared" ref="U15:U25" si="13">T15*100/$G15</f>
        <v>1.0288065843621399</v>
      </c>
      <c r="V15" s="97">
        <v>0</v>
      </c>
      <c r="W15" s="97">
        <v>1</v>
      </c>
      <c r="X15" s="97">
        <v>0</v>
      </c>
      <c r="Y15" s="97">
        <v>2</v>
      </c>
      <c r="Z15" s="97">
        <v>0</v>
      </c>
      <c r="AA15" s="97">
        <f t="shared" ref="AA15:AA25" si="14">SUM(V15:Z15)</f>
        <v>3</v>
      </c>
      <c r="AB15" s="99">
        <f t="shared" ref="AB15:AB25" si="15">AA15*100/$G15</f>
        <v>0.61728395061728392</v>
      </c>
      <c r="AC15" s="101"/>
      <c r="AD15" s="101">
        <v>0</v>
      </c>
      <c r="AE15" s="101">
        <v>22</v>
      </c>
    </row>
    <row r="16" spans="1:31" ht="14.4" thickBot="1" x14ac:dyDescent="0.3">
      <c r="A16" s="89" t="s">
        <v>6</v>
      </c>
      <c r="B16" s="109">
        <v>55</v>
      </c>
      <c r="C16" s="97">
        <v>28</v>
      </c>
      <c r="D16" s="97">
        <v>67</v>
      </c>
      <c r="E16" s="97">
        <v>49</v>
      </c>
      <c r="F16" s="97">
        <v>29</v>
      </c>
      <c r="G16" s="98">
        <f t="shared" si="9"/>
        <v>228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f t="shared" si="10"/>
        <v>0</v>
      </c>
      <c r="N16" s="99">
        <f t="shared" si="11"/>
        <v>0</v>
      </c>
      <c r="O16" s="97">
        <v>1</v>
      </c>
      <c r="P16" s="97">
        <v>0</v>
      </c>
      <c r="Q16" s="97">
        <v>0</v>
      </c>
      <c r="R16" s="97">
        <v>0</v>
      </c>
      <c r="S16" s="97">
        <v>0</v>
      </c>
      <c r="T16" s="101">
        <f t="shared" si="12"/>
        <v>1</v>
      </c>
      <c r="U16" s="99">
        <f t="shared" si="13"/>
        <v>0.43859649122807015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101">
        <f t="shared" si="14"/>
        <v>0</v>
      </c>
      <c r="AB16" s="99">
        <f t="shared" si="15"/>
        <v>0</v>
      </c>
      <c r="AC16" s="101"/>
      <c r="AD16" s="101">
        <v>0</v>
      </c>
      <c r="AE16" s="101">
        <v>3</v>
      </c>
    </row>
    <row r="17" spans="1:31" ht="14.4" thickBot="1" x14ac:dyDescent="0.3">
      <c r="A17" s="89" t="s">
        <v>7</v>
      </c>
      <c r="B17" s="97">
        <v>22</v>
      </c>
      <c r="C17" s="97">
        <v>23</v>
      </c>
      <c r="D17" s="97">
        <v>56</v>
      </c>
      <c r="E17" s="97">
        <v>34</v>
      </c>
      <c r="F17" s="97">
        <v>20</v>
      </c>
      <c r="G17" s="98">
        <f t="shared" si="9"/>
        <v>155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 t="shared" si="10"/>
        <v>0</v>
      </c>
      <c r="N17" s="99">
        <f t="shared" si="11"/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f t="shared" si="12"/>
        <v>0</v>
      </c>
      <c r="U17" s="99">
        <f t="shared" si="13"/>
        <v>0</v>
      </c>
      <c r="V17" s="97">
        <v>0</v>
      </c>
      <c r="W17" s="97">
        <v>1</v>
      </c>
      <c r="X17" s="97">
        <v>0</v>
      </c>
      <c r="Y17" s="97">
        <v>0</v>
      </c>
      <c r="Z17" s="97">
        <v>0</v>
      </c>
      <c r="AA17" s="97">
        <f t="shared" si="14"/>
        <v>1</v>
      </c>
      <c r="AB17" s="99">
        <f t="shared" si="15"/>
        <v>0.64516129032258063</v>
      </c>
      <c r="AC17" s="101"/>
      <c r="AD17" s="101">
        <v>0</v>
      </c>
      <c r="AE17" s="101">
        <v>0</v>
      </c>
    </row>
    <row r="18" spans="1:31" ht="14.4" thickBot="1" x14ac:dyDescent="0.3">
      <c r="A18" s="89" t="s">
        <v>8</v>
      </c>
      <c r="B18" s="97">
        <v>9</v>
      </c>
      <c r="C18" s="97">
        <v>6</v>
      </c>
      <c r="D18" s="97">
        <v>11</v>
      </c>
      <c r="E18" s="97">
        <v>14</v>
      </c>
      <c r="F18" s="97">
        <v>3</v>
      </c>
      <c r="G18" s="98">
        <f t="shared" si="9"/>
        <v>43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 t="shared" si="10"/>
        <v>0</v>
      </c>
      <c r="N18" s="99">
        <f t="shared" si="11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f t="shared" si="12"/>
        <v>0</v>
      </c>
      <c r="U18" s="99">
        <f t="shared" si="13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 t="shared" si="14"/>
        <v>0</v>
      </c>
      <c r="AB18" s="99">
        <f t="shared" si="15"/>
        <v>0</v>
      </c>
      <c r="AC18" s="101"/>
      <c r="AD18" s="101">
        <v>0</v>
      </c>
      <c r="AE18" s="101">
        <v>0</v>
      </c>
    </row>
    <row r="19" spans="1:31" ht="14.4" thickBot="1" x14ac:dyDescent="0.3">
      <c r="A19" s="89" t="s">
        <v>9</v>
      </c>
      <c r="B19" s="97">
        <v>35</v>
      </c>
      <c r="C19" s="97">
        <v>16</v>
      </c>
      <c r="D19" s="97">
        <v>37</v>
      </c>
      <c r="E19" s="97">
        <v>29</v>
      </c>
      <c r="F19" s="97">
        <v>21</v>
      </c>
      <c r="G19" s="98">
        <f t="shared" si="9"/>
        <v>138</v>
      </c>
      <c r="H19" s="97">
        <v>0</v>
      </c>
      <c r="I19" s="97">
        <v>0</v>
      </c>
      <c r="J19" s="97">
        <v>2</v>
      </c>
      <c r="K19" s="97">
        <v>0</v>
      </c>
      <c r="L19" s="97">
        <v>0</v>
      </c>
      <c r="M19" s="101">
        <f t="shared" si="10"/>
        <v>2</v>
      </c>
      <c r="N19" s="99">
        <f t="shared" si="11"/>
        <v>1.4492753623188406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12"/>
        <v>0</v>
      </c>
      <c r="U19" s="99">
        <f t="shared" si="13"/>
        <v>0</v>
      </c>
      <c r="V19" s="97">
        <v>1</v>
      </c>
      <c r="W19" s="97">
        <v>1</v>
      </c>
      <c r="X19" s="97">
        <v>0</v>
      </c>
      <c r="Y19" s="97">
        <v>0</v>
      </c>
      <c r="Z19" s="97">
        <v>0</v>
      </c>
      <c r="AA19" s="101">
        <f t="shared" si="14"/>
        <v>2</v>
      </c>
      <c r="AB19" s="99">
        <f t="shared" si="15"/>
        <v>1.4492753623188406</v>
      </c>
      <c r="AC19" s="101"/>
      <c r="AD19" s="101">
        <v>0</v>
      </c>
      <c r="AE19" s="101">
        <v>2</v>
      </c>
    </row>
    <row r="20" spans="1:31" ht="14.4" thickBot="1" x14ac:dyDescent="0.3">
      <c r="A20" s="89" t="s">
        <v>10</v>
      </c>
      <c r="B20" s="97">
        <v>14</v>
      </c>
      <c r="C20" s="97">
        <v>10</v>
      </c>
      <c r="D20" s="97">
        <v>8</v>
      </c>
      <c r="E20" s="97">
        <v>22</v>
      </c>
      <c r="F20" s="97">
        <v>4</v>
      </c>
      <c r="G20" s="98">
        <f t="shared" si="9"/>
        <v>58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10"/>
        <v>0</v>
      </c>
      <c r="N20" s="99">
        <f t="shared" si="11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12"/>
        <v>0</v>
      </c>
      <c r="U20" s="99">
        <f t="shared" si="13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14"/>
        <v>0</v>
      </c>
      <c r="AB20" s="99">
        <f t="shared" si="15"/>
        <v>0</v>
      </c>
      <c r="AC20" s="101"/>
      <c r="AD20" s="101">
        <v>0</v>
      </c>
      <c r="AE20" s="101">
        <v>2</v>
      </c>
    </row>
    <row r="21" spans="1:31" ht="14.4" thickBot="1" x14ac:dyDescent="0.3">
      <c r="A21" s="89" t="s">
        <v>11</v>
      </c>
      <c r="B21" s="97">
        <v>38</v>
      </c>
      <c r="C21" s="97">
        <v>11</v>
      </c>
      <c r="D21" s="97">
        <v>66</v>
      </c>
      <c r="E21" s="97">
        <v>71</v>
      </c>
      <c r="F21" s="97">
        <v>22</v>
      </c>
      <c r="G21" s="98">
        <f t="shared" si="9"/>
        <v>208</v>
      </c>
      <c r="H21" s="97">
        <v>0</v>
      </c>
      <c r="I21" s="97">
        <v>0</v>
      </c>
      <c r="J21" s="97">
        <v>3</v>
      </c>
      <c r="K21" s="97">
        <v>0</v>
      </c>
      <c r="L21" s="97">
        <v>0</v>
      </c>
      <c r="M21" s="97">
        <f t="shared" si="10"/>
        <v>3</v>
      </c>
      <c r="N21" s="99">
        <f t="shared" si="11"/>
        <v>1.4423076923076923</v>
      </c>
      <c r="O21" s="97">
        <v>1</v>
      </c>
      <c r="P21" s="97">
        <v>0</v>
      </c>
      <c r="Q21" s="97">
        <v>0</v>
      </c>
      <c r="R21" s="97">
        <v>1</v>
      </c>
      <c r="S21" s="97">
        <v>0</v>
      </c>
      <c r="T21" s="97">
        <f t="shared" si="12"/>
        <v>2</v>
      </c>
      <c r="U21" s="99">
        <f t="shared" si="13"/>
        <v>0.96153846153846156</v>
      </c>
      <c r="V21" s="97">
        <v>1</v>
      </c>
      <c r="W21" s="97">
        <v>0</v>
      </c>
      <c r="X21" s="97">
        <v>0</v>
      </c>
      <c r="Y21" s="97">
        <v>0</v>
      </c>
      <c r="Z21" s="97">
        <v>0</v>
      </c>
      <c r="AA21" s="97">
        <f t="shared" si="14"/>
        <v>1</v>
      </c>
      <c r="AB21" s="99">
        <f t="shared" si="15"/>
        <v>0.48076923076923078</v>
      </c>
      <c r="AC21" s="101"/>
      <c r="AD21" s="101">
        <v>0</v>
      </c>
      <c r="AE21" s="101">
        <v>48</v>
      </c>
    </row>
    <row r="22" spans="1:31" ht="14.4" thickBot="1" x14ac:dyDescent="0.3">
      <c r="A22" s="89" t="s">
        <v>12</v>
      </c>
      <c r="B22" s="97">
        <v>1951</v>
      </c>
      <c r="C22" s="97">
        <v>1052</v>
      </c>
      <c r="D22" s="97">
        <v>3419</v>
      </c>
      <c r="E22" s="97">
        <v>2378</v>
      </c>
      <c r="F22" s="97">
        <v>1616</v>
      </c>
      <c r="G22" s="98">
        <f t="shared" si="9"/>
        <v>10416</v>
      </c>
      <c r="H22" s="97">
        <v>11</v>
      </c>
      <c r="I22" s="97">
        <v>3</v>
      </c>
      <c r="J22" s="97">
        <v>17</v>
      </c>
      <c r="K22" s="97">
        <v>6</v>
      </c>
      <c r="L22" s="97">
        <v>6</v>
      </c>
      <c r="M22" s="97">
        <f t="shared" si="10"/>
        <v>43</v>
      </c>
      <c r="N22" s="99">
        <f t="shared" si="11"/>
        <v>0.41282642089093702</v>
      </c>
      <c r="O22" s="97">
        <v>16</v>
      </c>
      <c r="P22" s="97">
        <v>5</v>
      </c>
      <c r="Q22" s="97">
        <v>14</v>
      </c>
      <c r="R22" s="97">
        <v>9</v>
      </c>
      <c r="S22" s="97">
        <v>4</v>
      </c>
      <c r="T22" s="97">
        <f t="shared" si="12"/>
        <v>48</v>
      </c>
      <c r="U22" s="99">
        <f t="shared" si="13"/>
        <v>0.46082949308755761</v>
      </c>
      <c r="V22" s="97">
        <v>3</v>
      </c>
      <c r="W22" s="97">
        <v>2</v>
      </c>
      <c r="X22" s="97">
        <v>25</v>
      </c>
      <c r="Y22" s="97">
        <v>27</v>
      </c>
      <c r="Z22" s="97">
        <v>5</v>
      </c>
      <c r="AA22" s="97">
        <f t="shared" si="14"/>
        <v>62</v>
      </c>
      <c r="AB22" s="99">
        <f t="shared" si="15"/>
        <v>0.59523809523809523</v>
      </c>
      <c r="AC22" s="101"/>
      <c r="AD22" s="101">
        <v>2</v>
      </c>
      <c r="AE22" s="101">
        <v>329</v>
      </c>
    </row>
    <row r="23" spans="1:31" ht="14.4" thickBot="1" x14ac:dyDescent="0.3">
      <c r="A23" s="89" t="s">
        <v>13</v>
      </c>
      <c r="B23" s="97">
        <v>9</v>
      </c>
      <c r="C23" s="97">
        <v>11</v>
      </c>
      <c r="D23" s="97">
        <v>3</v>
      </c>
      <c r="E23" s="97">
        <v>35</v>
      </c>
      <c r="F23" s="97">
        <v>3</v>
      </c>
      <c r="G23" s="98">
        <f t="shared" si="9"/>
        <v>61</v>
      </c>
      <c r="H23" s="97"/>
      <c r="I23" s="97"/>
      <c r="J23" s="97"/>
      <c r="K23" s="97"/>
      <c r="L23" s="97"/>
      <c r="M23" s="97">
        <f t="shared" si="10"/>
        <v>0</v>
      </c>
      <c r="N23" s="99">
        <f t="shared" si="11"/>
        <v>0</v>
      </c>
      <c r="O23" s="97">
        <v>2</v>
      </c>
      <c r="P23" s="97">
        <v>0</v>
      </c>
      <c r="Q23" s="97">
        <v>0</v>
      </c>
      <c r="R23" s="97">
        <v>0</v>
      </c>
      <c r="S23" s="97">
        <v>0</v>
      </c>
      <c r="T23" s="97">
        <f t="shared" si="12"/>
        <v>2</v>
      </c>
      <c r="U23" s="99">
        <f t="shared" si="13"/>
        <v>3.278688524590164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 t="shared" si="14"/>
        <v>0</v>
      </c>
      <c r="AB23" s="99">
        <f t="shared" si="15"/>
        <v>0</v>
      </c>
      <c r="AC23" s="101"/>
      <c r="AD23" s="101">
        <v>0</v>
      </c>
      <c r="AE23" s="101">
        <v>0</v>
      </c>
    </row>
    <row r="24" spans="1:31" ht="23.4" thickBot="1" x14ac:dyDescent="0.3">
      <c r="A24" s="139" t="s">
        <v>23</v>
      </c>
      <c r="B24" s="110">
        <v>248</v>
      </c>
      <c r="C24" s="110"/>
      <c r="D24" s="97"/>
      <c r="E24" s="110"/>
      <c r="F24" s="97">
        <v>207</v>
      </c>
      <c r="G24" s="98">
        <f t="shared" si="9"/>
        <v>455</v>
      </c>
      <c r="H24" s="110"/>
      <c r="I24" s="97"/>
      <c r="J24" s="97"/>
      <c r="K24" s="97"/>
      <c r="L24" s="97"/>
      <c r="M24" s="97">
        <f t="shared" si="10"/>
        <v>0</v>
      </c>
      <c r="N24" s="99">
        <f t="shared" si="11"/>
        <v>0</v>
      </c>
      <c r="O24" s="110">
        <v>3</v>
      </c>
      <c r="P24" s="97"/>
      <c r="Q24" s="97"/>
      <c r="R24" s="97"/>
      <c r="S24" s="97">
        <v>0</v>
      </c>
      <c r="T24" s="97">
        <f t="shared" si="12"/>
        <v>3</v>
      </c>
      <c r="U24" s="99">
        <f t="shared" si="13"/>
        <v>0.65934065934065933</v>
      </c>
      <c r="V24" s="110">
        <v>9</v>
      </c>
      <c r="W24" s="97"/>
      <c r="X24" s="97"/>
      <c r="Y24" s="97"/>
      <c r="Z24" s="97"/>
      <c r="AA24" s="97">
        <f t="shared" si="14"/>
        <v>9</v>
      </c>
      <c r="AB24" s="99">
        <f t="shared" si="15"/>
        <v>1.9780219780219781</v>
      </c>
      <c r="AC24" s="101"/>
      <c r="AD24" s="101"/>
      <c r="AE24" s="101">
        <v>174</v>
      </c>
    </row>
    <row r="25" spans="1:31" s="132" customFormat="1" ht="14.4" thickBot="1" x14ac:dyDescent="0.3">
      <c r="A25" s="128" t="s">
        <v>22</v>
      </c>
      <c r="B25" s="111">
        <f>SUM(B14:B24)</f>
        <v>2508</v>
      </c>
      <c r="C25" s="111">
        <f>SUM(C14:C24)</f>
        <v>1194</v>
      </c>
      <c r="D25" s="111">
        <f>SUM(D14:D24)</f>
        <v>3898</v>
      </c>
      <c r="E25" s="111">
        <f>SUM(E14:E24)</f>
        <v>2805</v>
      </c>
      <c r="F25" s="111">
        <f>SUM(F14:F24)</f>
        <v>1984</v>
      </c>
      <c r="G25" s="102">
        <f t="shared" si="9"/>
        <v>12389</v>
      </c>
      <c r="H25" s="111">
        <f>SUM(H14:H24)</f>
        <v>11</v>
      </c>
      <c r="I25" s="111">
        <f>SUM(I14:I24)</f>
        <v>3</v>
      </c>
      <c r="J25" s="111">
        <f>SUM(J14:J24)</f>
        <v>22</v>
      </c>
      <c r="K25" s="111">
        <f>SUM(K14:K24)</f>
        <v>7</v>
      </c>
      <c r="L25" s="111">
        <f>SUM(L14:L24)</f>
        <v>6</v>
      </c>
      <c r="M25" s="103">
        <f t="shared" si="10"/>
        <v>49</v>
      </c>
      <c r="N25" s="104">
        <f t="shared" si="11"/>
        <v>0.39551214787311323</v>
      </c>
      <c r="O25" s="111">
        <f>SUM(O14:O24)</f>
        <v>24</v>
      </c>
      <c r="P25" s="111">
        <f>SUM(P14:P24)</f>
        <v>5</v>
      </c>
      <c r="Q25" s="111">
        <f>SUM(Q14:Q24)</f>
        <v>16</v>
      </c>
      <c r="R25" s="111">
        <f>SUM(R14:R24)</f>
        <v>13</v>
      </c>
      <c r="S25" s="111">
        <f>SUM(S14:S24)</f>
        <v>7</v>
      </c>
      <c r="T25" s="103">
        <f t="shared" si="12"/>
        <v>65</v>
      </c>
      <c r="U25" s="104">
        <f t="shared" si="13"/>
        <v>0.52465897166841557</v>
      </c>
      <c r="V25" s="111">
        <f>SUM(V14:V24)</f>
        <v>14</v>
      </c>
      <c r="W25" s="111">
        <f>SUM(W14:W24)</f>
        <v>5</v>
      </c>
      <c r="X25" s="111">
        <f>SUM(X14:X24)</f>
        <v>25</v>
      </c>
      <c r="Y25" s="111">
        <f>SUM(Y14:Y24)</f>
        <v>29</v>
      </c>
      <c r="Z25" s="111">
        <f>SUM(Z14:Z24)</f>
        <v>5</v>
      </c>
      <c r="AA25" s="103">
        <f t="shared" si="14"/>
        <v>78</v>
      </c>
      <c r="AB25" s="104">
        <f t="shared" si="15"/>
        <v>0.62959076600209862</v>
      </c>
      <c r="AC25" s="107">
        <f>SUM(AC14:AC24)</f>
        <v>0</v>
      </c>
      <c r="AD25" s="107">
        <f t="shared" ref="AD25:AE25" si="16">SUM(AD14:AD24)</f>
        <v>2</v>
      </c>
      <c r="AE25" s="107">
        <f t="shared" si="16"/>
        <v>587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2636</v>
      </c>
      <c r="C28" s="97">
        <v>1583</v>
      </c>
      <c r="D28" s="97">
        <v>2964</v>
      </c>
      <c r="E28" s="97">
        <v>2792</v>
      </c>
      <c r="F28" s="97">
        <v>2733</v>
      </c>
      <c r="G28" s="98">
        <f t="shared" ref="G28:G36" si="17">SUM(B28:F28)</f>
        <v>12708</v>
      </c>
      <c r="H28" s="97">
        <v>4</v>
      </c>
      <c r="I28" s="97">
        <v>1</v>
      </c>
      <c r="J28" s="97">
        <v>6</v>
      </c>
      <c r="K28" s="97">
        <v>2</v>
      </c>
      <c r="L28" s="97">
        <v>3</v>
      </c>
      <c r="M28" s="97">
        <f>SUM(H28:L28)</f>
        <v>16</v>
      </c>
      <c r="N28" s="99">
        <f>M28*100/$G28</f>
        <v>0.12590494176896444</v>
      </c>
      <c r="O28" s="97">
        <v>5</v>
      </c>
      <c r="P28" s="97">
        <v>0</v>
      </c>
      <c r="Q28" s="97">
        <v>12</v>
      </c>
      <c r="R28" s="97">
        <v>13</v>
      </c>
      <c r="S28" s="97">
        <v>1</v>
      </c>
      <c r="T28" s="97">
        <f>SUM(O28:S28)</f>
        <v>31</v>
      </c>
      <c r="U28" s="99">
        <f>T28*100/$G28</f>
        <v>0.24394082467736858</v>
      </c>
      <c r="V28" s="97">
        <v>4</v>
      </c>
      <c r="W28" s="97">
        <v>0</v>
      </c>
      <c r="X28" s="97">
        <v>6</v>
      </c>
      <c r="Y28" s="97">
        <v>1</v>
      </c>
      <c r="Z28" s="97">
        <v>3</v>
      </c>
      <c r="AA28" s="97">
        <f>SUM(V28:Z28)</f>
        <v>14</v>
      </c>
      <c r="AB28" s="99">
        <f>AA28*100/$G28</f>
        <v>0.11016682404784388</v>
      </c>
      <c r="AC28" s="101">
        <v>14</v>
      </c>
      <c r="AD28" s="101">
        <v>1</v>
      </c>
      <c r="AE28" s="101">
        <v>84</v>
      </c>
    </row>
    <row r="29" spans="1:31" ht="14.4" thickBot="1" x14ac:dyDescent="0.3">
      <c r="A29" s="89" t="s">
        <v>16</v>
      </c>
      <c r="B29" s="97">
        <v>1047</v>
      </c>
      <c r="C29" s="97">
        <v>672</v>
      </c>
      <c r="D29" s="97">
        <v>1927</v>
      </c>
      <c r="E29" s="97">
        <v>1508</v>
      </c>
      <c r="F29" s="97">
        <v>893</v>
      </c>
      <c r="G29" s="98">
        <f t="shared" si="17"/>
        <v>6047</v>
      </c>
      <c r="H29" s="97">
        <v>3</v>
      </c>
      <c r="I29" s="97">
        <v>0</v>
      </c>
      <c r="J29" s="97">
        <v>14</v>
      </c>
      <c r="K29" s="97">
        <v>6</v>
      </c>
      <c r="L29" s="97">
        <v>0</v>
      </c>
      <c r="M29" s="97">
        <f>SUM(H29:L29)</f>
        <v>23</v>
      </c>
      <c r="N29" s="99">
        <f t="shared" ref="N29:N38" si="18">M29*100/$G29</f>
        <v>0.38035389449313711</v>
      </c>
      <c r="O29" s="97">
        <v>2</v>
      </c>
      <c r="P29" s="97">
        <v>8</v>
      </c>
      <c r="Q29" s="97">
        <v>15</v>
      </c>
      <c r="R29" s="97">
        <v>9</v>
      </c>
      <c r="S29" s="97">
        <v>2</v>
      </c>
      <c r="T29" s="97">
        <f>SUM(O29:S29)</f>
        <v>36</v>
      </c>
      <c r="U29" s="99">
        <f t="shared" ref="U29:U38" si="19">T29*100/$G29</f>
        <v>0.59533653051099722</v>
      </c>
      <c r="V29" s="97">
        <v>5</v>
      </c>
      <c r="W29" s="97">
        <v>0</v>
      </c>
      <c r="X29" s="97">
        <v>9</v>
      </c>
      <c r="Y29" s="97">
        <v>10</v>
      </c>
      <c r="Z29" s="97">
        <v>2</v>
      </c>
      <c r="AA29" s="97">
        <f>SUM(V29:Z29)</f>
        <v>26</v>
      </c>
      <c r="AB29" s="99">
        <f t="shared" ref="AB29:AB38" si="20">AA29*100/$G29</f>
        <v>0.42996527203572021</v>
      </c>
      <c r="AC29" s="101">
        <v>16</v>
      </c>
      <c r="AD29" s="101">
        <v>0</v>
      </c>
      <c r="AE29" s="101">
        <v>119</v>
      </c>
    </row>
    <row r="30" spans="1:31" ht="14.4" thickBot="1" x14ac:dyDescent="0.3">
      <c r="A30" s="89" t="s">
        <v>34</v>
      </c>
      <c r="B30" s="97">
        <v>786</v>
      </c>
      <c r="C30" s="97">
        <v>533</v>
      </c>
      <c r="D30" s="97">
        <v>850</v>
      </c>
      <c r="E30" s="97">
        <v>737</v>
      </c>
      <c r="F30" s="97">
        <v>1158</v>
      </c>
      <c r="G30" s="98">
        <f t="shared" si="17"/>
        <v>4064</v>
      </c>
      <c r="H30" s="97">
        <v>2</v>
      </c>
      <c r="I30" s="97">
        <v>0</v>
      </c>
      <c r="J30" s="97">
        <v>2</v>
      </c>
      <c r="K30" s="97">
        <v>0</v>
      </c>
      <c r="L30" s="97">
        <v>0</v>
      </c>
      <c r="M30" s="97">
        <f t="shared" ref="M30:M38" si="21">SUM(H30:L30)</f>
        <v>4</v>
      </c>
      <c r="N30" s="99">
        <f t="shared" si="18"/>
        <v>9.8425196850393706E-2</v>
      </c>
      <c r="O30" s="97">
        <v>3</v>
      </c>
      <c r="P30" s="97">
        <v>0</v>
      </c>
      <c r="Q30" s="97">
        <v>17</v>
      </c>
      <c r="R30" s="97">
        <v>4</v>
      </c>
      <c r="S30" s="97">
        <v>1</v>
      </c>
      <c r="T30" s="97">
        <f t="shared" ref="T30:T38" si="22">SUM(O30:S30)</f>
        <v>25</v>
      </c>
      <c r="U30" s="99">
        <f t="shared" si="19"/>
        <v>0.61515748031496065</v>
      </c>
      <c r="V30" s="97"/>
      <c r="W30" s="97">
        <v>0</v>
      </c>
      <c r="X30" s="97">
        <v>7</v>
      </c>
      <c r="Y30" s="97">
        <v>0</v>
      </c>
      <c r="Z30" s="97">
        <v>0</v>
      </c>
      <c r="AA30" s="97">
        <f t="shared" ref="AA30:AA38" si="23">SUM(V30:Z30)</f>
        <v>7</v>
      </c>
      <c r="AB30" s="99">
        <f t="shared" si="20"/>
        <v>0.17224409448818898</v>
      </c>
      <c r="AC30" s="101">
        <v>3</v>
      </c>
      <c r="AD30" s="101">
        <v>0</v>
      </c>
      <c r="AE30" s="101">
        <v>88</v>
      </c>
    </row>
    <row r="31" spans="1:31" ht="14.4" thickBot="1" x14ac:dyDescent="0.3">
      <c r="A31" s="89" t="s">
        <v>17</v>
      </c>
      <c r="B31" s="97">
        <v>5233</v>
      </c>
      <c r="C31" s="97">
        <v>3343</v>
      </c>
      <c r="D31" s="97">
        <v>7492</v>
      </c>
      <c r="E31" s="97">
        <v>6280</v>
      </c>
      <c r="F31" s="97">
        <v>5637</v>
      </c>
      <c r="G31" s="98">
        <f t="shared" si="17"/>
        <v>27985</v>
      </c>
      <c r="H31" s="97">
        <v>5</v>
      </c>
      <c r="I31" s="97">
        <v>1</v>
      </c>
      <c r="J31" s="97">
        <v>15</v>
      </c>
      <c r="K31" s="97">
        <v>4</v>
      </c>
      <c r="L31" s="97">
        <v>0</v>
      </c>
      <c r="M31" s="97">
        <f t="shared" si="21"/>
        <v>25</v>
      </c>
      <c r="N31" s="99">
        <f t="shared" si="18"/>
        <v>8.9333571556190816E-2</v>
      </c>
      <c r="O31" s="97">
        <v>19</v>
      </c>
      <c r="P31" s="97">
        <v>5</v>
      </c>
      <c r="Q31" s="97">
        <v>19</v>
      </c>
      <c r="R31" s="97">
        <v>7</v>
      </c>
      <c r="S31" s="97">
        <v>8</v>
      </c>
      <c r="T31" s="97">
        <f t="shared" si="22"/>
        <v>58</v>
      </c>
      <c r="U31" s="99">
        <f t="shared" si="19"/>
        <v>0.20725388601036268</v>
      </c>
      <c r="V31" s="97">
        <v>27</v>
      </c>
      <c r="W31" s="97">
        <v>3</v>
      </c>
      <c r="X31" s="97">
        <v>17</v>
      </c>
      <c r="Y31" s="97">
        <v>20</v>
      </c>
      <c r="Z31" s="97">
        <v>3</v>
      </c>
      <c r="AA31" s="97">
        <f t="shared" si="23"/>
        <v>70</v>
      </c>
      <c r="AB31" s="99">
        <f t="shared" si="20"/>
        <v>0.2501340003573343</v>
      </c>
      <c r="AC31" s="101">
        <v>20</v>
      </c>
      <c r="AD31" s="101">
        <v>0</v>
      </c>
      <c r="AE31" s="101">
        <v>930</v>
      </c>
    </row>
    <row r="32" spans="1:31" ht="14.4" thickBot="1" x14ac:dyDescent="0.3">
      <c r="A32" s="89" t="s">
        <v>125</v>
      </c>
      <c r="B32" s="97">
        <v>10823</v>
      </c>
      <c r="C32" s="97">
        <v>8054</v>
      </c>
      <c r="D32" s="97">
        <v>17798</v>
      </c>
      <c r="E32" s="97">
        <v>15338</v>
      </c>
      <c r="F32" s="97">
        <v>11442</v>
      </c>
      <c r="G32" s="98">
        <f t="shared" si="17"/>
        <v>63455</v>
      </c>
      <c r="H32" s="97">
        <v>18</v>
      </c>
      <c r="I32" s="97">
        <v>11</v>
      </c>
      <c r="J32" s="97">
        <v>36</v>
      </c>
      <c r="K32" s="97">
        <v>24</v>
      </c>
      <c r="L32" s="97">
        <v>6</v>
      </c>
      <c r="M32" s="97">
        <f t="shared" si="21"/>
        <v>95</v>
      </c>
      <c r="N32" s="99">
        <f t="shared" si="18"/>
        <v>0.14971239461035379</v>
      </c>
      <c r="O32" s="97">
        <v>26</v>
      </c>
      <c r="P32" s="97">
        <v>27</v>
      </c>
      <c r="Q32" s="97">
        <v>83</v>
      </c>
      <c r="R32" s="97">
        <v>34</v>
      </c>
      <c r="S32" s="97">
        <v>6</v>
      </c>
      <c r="T32" s="97">
        <f t="shared" si="22"/>
        <v>176</v>
      </c>
      <c r="U32" s="99">
        <f t="shared" si="19"/>
        <v>0.27736191001497124</v>
      </c>
      <c r="V32" s="97">
        <v>21</v>
      </c>
      <c r="W32" s="97">
        <v>8</v>
      </c>
      <c r="X32" s="97">
        <v>66</v>
      </c>
      <c r="Y32" s="97">
        <v>63</v>
      </c>
      <c r="Z32" s="97">
        <v>14</v>
      </c>
      <c r="AA32" s="97">
        <f t="shared" si="23"/>
        <v>172</v>
      </c>
      <c r="AB32" s="99">
        <f t="shared" si="20"/>
        <v>0.27105823024190373</v>
      </c>
      <c r="AC32" s="101">
        <v>32</v>
      </c>
      <c r="AD32" s="101">
        <v>1</v>
      </c>
      <c r="AE32" s="101">
        <v>1122</v>
      </c>
    </row>
    <row r="33" spans="1:31" ht="14.4" thickBot="1" x14ac:dyDescent="0.3">
      <c r="A33" s="89" t="s">
        <v>18</v>
      </c>
      <c r="B33" s="97">
        <v>1705</v>
      </c>
      <c r="C33" s="97">
        <v>1481</v>
      </c>
      <c r="D33" s="97">
        <v>2222</v>
      </c>
      <c r="E33" s="97">
        <v>1628</v>
      </c>
      <c r="F33" s="97">
        <v>3617</v>
      </c>
      <c r="G33" s="98">
        <f t="shared" si="17"/>
        <v>10653</v>
      </c>
      <c r="H33" s="97">
        <v>3</v>
      </c>
      <c r="I33" s="97">
        <v>3</v>
      </c>
      <c r="J33" s="97">
        <v>5</v>
      </c>
      <c r="K33" s="97">
        <v>6</v>
      </c>
      <c r="L33" s="97">
        <v>1</v>
      </c>
      <c r="M33" s="97">
        <f t="shared" si="21"/>
        <v>18</v>
      </c>
      <c r="N33" s="99">
        <f t="shared" si="18"/>
        <v>0.16896648831315123</v>
      </c>
      <c r="O33" s="97">
        <v>2</v>
      </c>
      <c r="P33" s="97">
        <v>2</v>
      </c>
      <c r="Q33" s="97">
        <v>4</v>
      </c>
      <c r="R33" s="97">
        <v>19</v>
      </c>
      <c r="S33" s="97">
        <v>3</v>
      </c>
      <c r="T33" s="97">
        <f t="shared" si="22"/>
        <v>30</v>
      </c>
      <c r="U33" s="99">
        <f t="shared" si="19"/>
        <v>0.28161081385525205</v>
      </c>
      <c r="V33" s="97"/>
      <c r="W33" s="97">
        <v>6</v>
      </c>
      <c r="X33" s="97">
        <v>3</v>
      </c>
      <c r="Y33" s="97">
        <v>3</v>
      </c>
      <c r="Z33" s="97">
        <v>2</v>
      </c>
      <c r="AA33" s="97">
        <f t="shared" si="23"/>
        <v>14</v>
      </c>
      <c r="AB33" s="99">
        <f t="shared" si="20"/>
        <v>0.13141837979911761</v>
      </c>
      <c r="AC33" s="101">
        <v>6</v>
      </c>
      <c r="AD33" s="101">
        <v>0</v>
      </c>
      <c r="AE33" s="101">
        <v>50</v>
      </c>
    </row>
    <row r="34" spans="1:31" ht="14.4" thickBot="1" x14ac:dyDescent="0.3">
      <c r="A34" s="89" t="s">
        <v>19</v>
      </c>
      <c r="B34" s="97">
        <v>8830</v>
      </c>
      <c r="C34" s="97">
        <v>6054</v>
      </c>
      <c r="D34" s="97">
        <v>11339</v>
      </c>
      <c r="E34" s="97">
        <v>8895</v>
      </c>
      <c r="F34" s="97">
        <v>7286</v>
      </c>
      <c r="G34" s="98">
        <f t="shared" si="17"/>
        <v>42404</v>
      </c>
      <c r="H34" s="97">
        <v>41</v>
      </c>
      <c r="I34" s="97">
        <v>22</v>
      </c>
      <c r="J34" s="97">
        <v>92</v>
      </c>
      <c r="K34" s="97">
        <v>20</v>
      </c>
      <c r="L34" s="97">
        <v>16</v>
      </c>
      <c r="M34" s="97">
        <f t="shared" si="21"/>
        <v>191</v>
      </c>
      <c r="N34" s="99">
        <f t="shared" si="18"/>
        <v>0.45042920479200077</v>
      </c>
      <c r="O34" s="97">
        <v>83</v>
      </c>
      <c r="P34" s="97">
        <v>27</v>
      </c>
      <c r="Q34" s="97">
        <v>135</v>
      </c>
      <c r="R34" s="97">
        <v>28</v>
      </c>
      <c r="S34" s="97">
        <v>20</v>
      </c>
      <c r="T34" s="97">
        <f t="shared" si="22"/>
        <v>293</v>
      </c>
      <c r="U34" s="99">
        <f t="shared" si="19"/>
        <v>0.69097254975945666</v>
      </c>
      <c r="V34" s="97">
        <v>52</v>
      </c>
      <c r="W34" s="97">
        <v>30</v>
      </c>
      <c r="X34" s="97">
        <v>58</v>
      </c>
      <c r="Y34" s="97">
        <v>6</v>
      </c>
      <c r="Z34" s="97">
        <v>19</v>
      </c>
      <c r="AA34" s="97">
        <f t="shared" si="23"/>
        <v>165</v>
      </c>
      <c r="AB34" s="99">
        <f t="shared" si="20"/>
        <v>0.38911423450617866</v>
      </c>
      <c r="AC34" s="101">
        <v>62</v>
      </c>
      <c r="AD34" s="101">
        <v>0</v>
      </c>
      <c r="AE34" s="101">
        <v>737</v>
      </c>
    </row>
    <row r="35" spans="1:31" ht="14.4" thickBot="1" x14ac:dyDescent="0.3">
      <c r="A35" s="89" t="s">
        <v>20</v>
      </c>
      <c r="B35" s="97">
        <v>4845</v>
      </c>
      <c r="C35" s="97">
        <v>3390</v>
      </c>
      <c r="D35" s="97">
        <v>7205</v>
      </c>
      <c r="E35" s="97">
        <v>7042</v>
      </c>
      <c r="F35" s="97">
        <v>3427</v>
      </c>
      <c r="G35" s="98">
        <f t="shared" si="17"/>
        <v>25909</v>
      </c>
      <c r="H35" s="97">
        <v>17</v>
      </c>
      <c r="I35" s="97">
        <v>6</v>
      </c>
      <c r="J35" s="97">
        <v>34</v>
      </c>
      <c r="K35" s="97">
        <v>5</v>
      </c>
      <c r="L35" s="97">
        <v>1</v>
      </c>
      <c r="M35" s="97">
        <f t="shared" si="21"/>
        <v>63</v>
      </c>
      <c r="N35" s="99">
        <f t="shared" si="18"/>
        <v>0.24315874792543132</v>
      </c>
      <c r="O35" s="97">
        <v>28</v>
      </c>
      <c r="P35" s="97">
        <v>14</v>
      </c>
      <c r="Q35" s="97">
        <v>53</v>
      </c>
      <c r="R35" s="97">
        <v>16</v>
      </c>
      <c r="S35" s="97">
        <v>13</v>
      </c>
      <c r="T35" s="97">
        <f t="shared" si="22"/>
        <v>124</v>
      </c>
      <c r="U35" s="99">
        <f t="shared" si="19"/>
        <v>0.47859817051989656</v>
      </c>
      <c r="V35" s="97">
        <v>27</v>
      </c>
      <c r="W35" s="97">
        <v>0</v>
      </c>
      <c r="X35" s="97">
        <v>34</v>
      </c>
      <c r="Y35" s="97">
        <v>3</v>
      </c>
      <c r="Z35" s="97">
        <v>4</v>
      </c>
      <c r="AA35" s="97">
        <f t="shared" si="23"/>
        <v>68</v>
      </c>
      <c r="AB35" s="99">
        <f t="shared" si="20"/>
        <v>0.26245706125284651</v>
      </c>
      <c r="AC35" s="101">
        <v>39</v>
      </c>
      <c r="AD35" s="101">
        <v>0</v>
      </c>
      <c r="AE35" s="101">
        <v>428</v>
      </c>
    </row>
    <row r="36" spans="1:31" ht="14.4" thickBot="1" x14ac:dyDescent="0.3">
      <c r="A36" s="89" t="s">
        <v>25</v>
      </c>
      <c r="B36" s="97"/>
      <c r="C36" s="97"/>
      <c r="D36" s="97"/>
      <c r="E36" s="97"/>
      <c r="F36" s="97"/>
      <c r="G36" s="98">
        <f t="shared" si="17"/>
        <v>0</v>
      </c>
      <c r="H36" s="97"/>
      <c r="I36" s="97"/>
      <c r="J36" s="97"/>
      <c r="K36" s="97"/>
      <c r="L36" s="97"/>
      <c r="M36" s="97">
        <f t="shared" si="21"/>
        <v>0</v>
      </c>
      <c r="N36" s="99" t="e">
        <f t="shared" si="18"/>
        <v>#DIV/0!</v>
      </c>
      <c r="O36" s="97"/>
      <c r="P36" s="97"/>
      <c r="Q36" s="97"/>
      <c r="R36" s="97"/>
      <c r="S36" s="97"/>
      <c r="T36" s="97">
        <f t="shared" si="22"/>
        <v>0</v>
      </c>
      <c r="U36" s="99" t="e">
        <f t="shared" si="19"/>
        <v>#DIV/0!</v>
      </c>
      <c r="V36" s="97"/>
      <c r="W36" s="97"/>
      <c r="X36" s="97"/>
      <c r="Y36" s="97"/>
      <c r="Z36" s="97"/>
      <c r="AA36" s="97">
        <f t="shared" si="23"/>
        <v>0</v>
      </c>
      <c r="AB36" s="99" t="e">
        <f t="shared" si="20"/>
        <v>#DIV/0!</v>
      </c>
      <c r="AC36" s="101"/>
      <c r="AD36" s="101"/>
      <c r="AE36" s="101"/>
    </row>
    <row r="37" spans="1:31" ht="14.4" thickBot="1" x14ac:dyDescent="0.3">
      <c r="A37" s="89" t="s">
        <v>26</v>
      </c>
      <c r="B37" s="97">
        <v>31594</v>
      </c>
      <c r="C37" s="97">
        <v>21628</v>
      </c>
      <c r="D37" s="97">
        <v>45977</v>
      </c>
      <c r="E37" s="97">
        <v>42215</v>
      </c>
      <c r="F37" s="97">
        <v>26586</v>
      </c>
      <c r="G37" s="98">
        <f>SUM(B37:F37)</f>
        <v>168000</v>
      </c>
      <c r="H37" s="97">
        <v>56</v>
      </c>
      <c r="I37" s="97">
        <v>17</v>
      </c>
      <c r="J37" s="97">
        <v>123</v>
      </c>
      <c r="K37" s="97">
        <v>45</v>
      </c>
      <c r="L37" s="97">
        <v>20</v>
      </c>
      <c r="M37" s="97">
        <f t="shared" si="21"/>
        <v>261</v>
      </c>
      <c r="N37" s="99">
        <f t="shared" si="18"/>
        <v>0.15535714285714286</v>
      </c>
      <c r="O37" s="97">
        <v>111</v>
      </c>
      <c r="P37" s="97">
        <v>37</v>
      </c>
      <c r="Q37" s="97">
        <v>156</v>
      </c>
      <c r="R37" s="97">
        <v>124</v>
      </c>
      <c r="S37" s="97">
        <v>33</v>
      </c>
      <c r="T37" s="97">
        <f t="shared" si="22"/>
        <v>461</v>
      </c>
      <c r="U37" s="99">
        <f t="shared" si="19"/>
        <v>0.27440476190476193</v>
      </c>
      <c r="V37" s="97">
        <v>134</v>
      </c>
      <c r="W37" s="97">
        <v>86</v>
      </c>
      <c r="X37" s="97">
        <v>188</v>
      </c>
      <c r="Y37" s="97">
        <v>9</v>
      </c>
      <c r="Z37" s="97">
        <v>64</v>
      </c>
      <c r="AA37" s="97">
        <f t="shared" si="23"/>
        <v>481</v>
      </c>
      <c r="AB37" s="99">
        <f t="shared" si="20"/>
        <v>0.28630952380952379</v>
      </c>
      <c r="AC37" s="101">
        <v>61</v>
      </c>
      <c r="AD37" s="101"/>
      <c r="AE37" s="97">
        <v>1667</v>
      </c>
    </row>
    <row r="38" spans="1:31" s="132" customFormat="1" ht="14.4" thickBot="1" x14ac:dyDescent="0.3">
      <c r="A38" s="128" t="s">
        <v>21</v>
      </c>
      <c r="B38" s="111">
        <f>SUM(B28:B37)</f>
        <v>67499</v>
      </c>
      <c r="C38" s="111">
        <f>SUM(C28:C37)</f>
        <v>46738</v>
      </c>
      <c r="D38" s="111">
        <f>SUM(D28:D37)</f>
        <v>97774</v>
      </c>
      <c r="E38" s="111">
        <f>SUM(E28:E37)</f>
        <v>86435</v>
      </c>
      <c r="F38" s="111">
        <f>SUM(F28:F37)</f>
        <v>62779</v>
      </c>
      <c r="G38" s="102">
        <f>SUM(B38:F38)</f>
        <v>361225</v>
      </c>
      <c r="H38" s="111">
        <f>SUM(H28:H37)</f>
        <v>149</v>
      </c>
      <c r="I38" s="111">
        <f>SUM(I28:I37)</f>
        <v>61</v>
      </c>
      <c r="J38" s="111">
        <f>SUM(J28:J37)</f>
        <v>327</v>
      </c>
      <c r="K38" s="111">
        <f>SUM(K28:K37)</f>
        <v>112</v>
      </c>
      <c r="L38" s="111">
        <f>SUM(L28:L37)</f>
        <v>47</v>
      </c>
      <c r="M38" s="103">
        <f t="shared" si="21"/>
        <v>696</v>
      </c>
      <c r="N38" s="104">
        <f t="shared" si="18"/>
        <v>0.19267769395805939</v>
      </c>
      <c r="O38" s="111">
        <f>SUM(O28:O37)</f>
        <v>279</v>
      </c>
      <c r="P38" s="111">
        <f>SUM(P28:P37)</f>
        <v>120</v>
      </c>
      <c r="Q38" s="111">
        <f>SUM(Q28:Q37)</f>
        <v>494</v>
      </c>
      <c r="R38" s="111">
        <f>SUM(R28:R37)</f>
        <v>254</v>
      </c>
      <c r="S38" s="111">
        <f>SUM(S28:S37)</f>
        <v>87</v>
      </c>
      <c r="T38" s="103">
        <f t="shared" si="22"/>
        <v>1234</v>
      </c>
      <c r="U38" s="104">
        <f t="shared" si="19"/>
        <v>0.34161533670150185</v>
      </c>
      <c r="V38" s="111">
        <f>SUM(V28:V37)</f>
        <v>270</v>
      </c>
      <c r="W38" s="111">
        <f>SUM(W28:W37)</f>
        <v>133</v>
      </c>
      <c r="X38" s="111">
        <f>SUM(X28:X37)</f>
        <v>388</v>
      </c>
      <c r="Y38" s="111">
        <f>SUM(Y28:Y37)</f>
        <v>115</v>
      </c>
      <c r="Z38" s="111">
        <f>SUM(Z28:Z37)</f>
        <v>111</v>
      </c>
      <c r="AA38" s="103">
        <f t="shared" si="23"/>
        <v>1017</v>
      </c>
      <c r="AB38" s="104">
        <f t="shared" si="20"/>
        <v>0.28154197522319885</v>
      </c>
      <c r="AC38" s="107">
        <f>SUM(AC28:AC37)</f>
        <v>253</v>
      </c>
      <c r="AD38" s="107">
        <f t="shared" ref="AD38:AE38" si="24">SUM(AD28:AD37)</f>
        <v>2</v>
      </c>
      <c r="AE38" s="114">
        <f t="shared" si="24"/>
        <v>5225</v>
      </c>
    </row>
    <row r="39" spans="1:31" ht="13.8" x14ac:dyDescent="0.25">
      <c r="A39" s="129"/>
      <c r="B39" s="130"/>
      <c r="C39" s="130"/>
      <c r="D39" s="130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27"/>
      <c r="AD39" s="127"/>
      <c r="AE39" s="127"/>
    </row>
    <row r="40" spans="1:31" ht="14.4" thickBot="1" x14ac:dyDescent="0.3">
      <c r="A40" s="6" t="s">
        <v>28</v>
      </c>
      <c r="B40" s="113"/>
      <c r="C40" s="113"/>
      <c r="D40" s="113"/>
      <c r="E40" s="113"/>
      <c r="F40" s="113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27"/>
      <c r="AD40" s="127"/>
      <c r="AE40" s="127"/>
    </row>
    <row r="41" spans="1:31" ht="14.4" thickBot="1" x14ac:dyDescent="0.3">
      <c r="A41" s="89" t="s">
        <v>40</v>
      </c>
      <c r="B41" s="97"/>
      <c r="C41" s="97"/>
      <c r="D41" s="97"/>
      <c r="E41" s="97"/>
      <c r="F41" s="97"/>
      <c r="G41" s="98">
        <f>SUM(B41:F41)</f>
        <v>0</v>
      </c>
      <c r="H41" s="97"/>
      <c r="I41" s="97"/>
      <c r="J41" s="97"/>
      <c r="K41" s="97"/>
      <c r="L41" s="120"/>
      <c r="M41" s="97">
        <f>SUM(H41:L41)</f>
        <v>0</v>
      </c>
      <c r="N41" s="99" t="e">
        <f>M41*100/$G41</f>
        <v>#DIV/0!</v>
      </c>
      <c r="O41" s="97"/>
      <c r="P41" s="97"/>
      <c r="Q41" s="97"/>
      <c r="R41" s="97"/>
      <c r="S41" s="120"/>
      <c r="T41" s="97">
        <f>SUM(O41:S41)</f>
        <v>0</v>
      </c>
      <c r="U41" s="99" t="e">
        <f>T41*100/$G41</f>
        <v>#DIV/0!</v>
      </c>
      <c r="V41" s="97"/>
      <c r="W41" s="97"/>
      <c r="X41" s="97"/>
      <c r="Y41" s="97"/>
      <c r="Z41" s="120"/>
      <c r="AA41" s="97">
        <f>SUM(V41:Z41)</f>
        <v>0</v>
      </c>
      <c r="AB41" s="99" t="e">
        <f>AA41*100/$G41</f>
        <v>#DIV/0!</v>
      </c>
      <c r="AC41" s="101"/>
      <c r="AD41" s="101"/>
      <c r="AE41" s="101"/>
    </row>
    <row r="42" spans="1:31" ht="14.4" thickBot="1" x14ac:dyDescent="0.3">
      <c r="A42" s="89" t="s">
        <v>27</v>
      </c>
      <c r="B42" s="97">
        <v>43138</v>
      </c>
      <c r="C42" s="97">
        <v>31298</v>
      </c>
      <c r="D42" s="109">
        <v>62608</v>
      </c>
      <c r="E42" s="97">
        <v>50058</v>
      </c>
      <c r="F42" s="97">
        <v>51922</v>
      </c>
      <c r="G42" s="98">
        <f>SUM(B42:F42)</f>
        <v>239024</v>
      </c>
      <c r="H42" s="97">
        <v>17</v>
      </c>
      <c r="I42" s="97">
        <v>14</v>
      </c>
      <c r="J42" s="97">
        <v>68</v>
      </c>
      <c r="K42" s="97">
        <v>18</v>
      </c>
      <c r="L42" s="97">
        <v>9</v>
      </c>
      <c r="M42" s="97">
        <f>SUM(H42:L42)</f>
        <v>126</v>
      </c>
      <c r="N42" s="99">
        <f t="shared" ref="N42:N43" si="25">M42*100/$G42</f>
        <v>5.2714371778566166E-2</v>
      </c>
      <c r="O42" s="97">
        <v>38</v>
      </c>
      <c r="P42" s="97">
        <v>8</v>
      </c>
      <c r="Q42" s="97">
        <v>84</v>
      </c>
      <c r="R42" s="97">
        <v>22</v>
      </c>
      <c r="S42" s="97">
        <v>4</v>
      </c>
      <c r="T42" s="97">
        <f>SUM(O42:S42)</f>
        <v>156</v>
      </c>
      <c r="U42" s="99">
        <f>T42*100/$G42</f>
        <v>6.5265412678224777E-2</v>
      </c>
      <c r="V42" s="97">
        <v>20</v>
      </c>
      <c r="W42" s="97">
        <v>8</v>
      </c>
      <c r="X42" s="97">
        <v>96</v>
      </c>
      <c r="Y42" s="97">
        <v>1</v>
      </c>
      <c r="Z42" s="97">
        <v>3</v>
      </c>
      <c r="AA42" s="97">
        <f>SUM(V42:Z42)</f>
        <v>128</v>
      </c>
      <c r="AB42" s="99">
        <f t="shared" ref="AB42:AB43" si="26">AA42*100/$G42</f>
        <v>5.3551107838543409E-2</v>
      </c>
      <c r="AC42" s="101">
        <v>19</v>
      </c>
      <c r="AD42" s="101">
        <v>0</v>
      </c>
      <c r="AE42" s="101">
        <v>288</v>
      </c>
    </row>
    <row r="43" spans="1:31" s="132" customFormat="1" ht="14.4" thickBot="1" x14ac:dyDescent="0.3">
      <c r="A43" s="128" t="s">
        <v>21</v>
      </c>
      <c r="B43" s="111">
        <f>SUM(B41:B42)</f>
        <v>43138</v>
      </c>
      <c r="C43" s="111">
        <f t="shared" ref="C43:L43" si="27">SUM(C41:C42)</f>
        <v>31298</v>
      </c>
      <c r="D43" s="111">
        <f t="shared" si="27"/>
        <v>62608</v>
      </c>
      <c r="E43" s="111">
        <f t="shared" si="27"/>
        <v>50058</v>
      </c>
      <c r="F43" s="111">
        <f t="shared" si="27"/>
        <v>51922</v>
      </c>
      <c r="G43" s="102">
        <f>SUM(G41:G42)</f>
        <v>239024</v>
      </c>
      <c r="H43" s="111">
        <f t="shared" si="27"/>
        <v>17</v>
      </c>
      <c r="I43" s="111">
        <f t="shared" si="27"/>
        <v>14</v>
      </c>
      <c r="J43" s="111">
        <f t="shared" si="27"/>
        <v>68</v>
      </c>
      <c r="K43" s="111">
        <f t="shared" si="27"/>
        <v>18</v>
      </c>
      <c r="L43" s="111">
        <f t="shared" si="27"/>
        <v>9</v>
      </c>
      <c r="M43" s="103">
        <f>SUM(M41:M42)</f>
        <v>126</v>
      </c>
      <c r="N43" s="104">
        <f t="shared" si="25"/>
        <v>5.2714371778566166E-2</v>
      </c>
      <c r="O43" s="111">
        <f t="shared" ref="O43:S43" si="28">SUM(O41:O42)</f>
        <v>38</v>
      </c>
      <c r="P43" s="111">
        <f t="shared" si="28"/>
        <v>8</v>
      </c>
      <c r="Q43" s="111">
        <f t="shared" si="28"/>
        <v>84</v>
      </c>
      <c r="R43" s="111">
        <f t="shared" si="28"/>
        <v>22</v>
      </c>
      <c r="S43" s="111">
        <f t="shared" si="28"/>
        <v>4</v>
      </c>
      <c r="T43" s="103">
        <f>SUM(T41:T42)</f>
        <v>156</v>
      </c>
      <c r="U43" s="104">
        <f>T43*100/$G43</f>
        <v>6.5265412678224777E-2</v>
      </c>
      <c r="V43" s="111">
        <f t="shared" ref="V43:Z43" si="29">SUM(V41:V42)</f>
        <v>20</v>
      </c>
      <c r="W43" s="111">
        <f t="shared" si="29"/>
        <v>8</v>
      </c>
      <c r="X43" s="111">
        <f t="shared" si="29"/>
        <v>96</v>
      </c>
      <c r="Y43" s="111">
        <f t="shared" si="29"/>
        <v>1</v>
      </c>
      <c r="Z43" s="111">
        <f t="shared" si="29"/>
        <v>3</v>
      </c>
      <c r="AA43" s="103">
        <f>SUM(AA41:AA42)</f>
        <v>128</v>
      </c>
      <c r="AB43" s="104">
        <f t="shared" si="26"/>
        <v>5.3551107838543409E-2</v>
      </c>
      <c r="AC43" s="107">
        <f>SUM(AC41:AC42)</f>
        <v>19</v>
      </c>
      <c r="AD43" s="107">
        <f t="shared" ref="AD43:AE43" si="30">SUM(AD41:AD42)</f>
        <v>0</v>
      </c>
      <c r="AE43" s="107">
        <f t="shared" si="30"/>
        <v>288</v>
      </c>
    </row>
    <row r="44" spans="1:31" ht="16.2" thickBot="1" x14ac:dyDescent="0.3">
      <c r="A44" s="121" t="s">
        <v>48</v>
      </c>
      <c r="B44" s="138">
        <f>B12+B26+B38+B43</f>
        <v>110637</v>
      </c>
      <c r="C44" s="134">
        <f>C12+C26+C38+C43</f>
        <v>78036</v>
      </c>
      <c r="D44" s="138">
        <f>D12+D26+D38+D43</f>
        <v>160382</v>
      </c>
      <c r="E44" s="134">
        <f>SUM(B44:D44)</f>
        <v>349055</v>
      </c>
      <c r="F44" s="134">
        <f t="shared" ref="F44" si="31">F12+F26+F38+F43</f>
        <v>114701</v>
      </c>
      <c r="G44" s="122">
        <f>G12+G26+G38+G43</f>
        <v>600249</v>
      </c>
      <c r="H44" s="122">
        <f t="shared" ref="H44:AE44" si="32">H11+H25+H38+H43</f>
        <v>193</v>
      </c>
      <c r="I44" s="122">
        <f t="shared" si="32"/>
        <v>79</v>
      </c>
      <c r="J44" s="122">
        <f t="shared" si="32"/>
        <v>440</v>
      </c>
      <c r="K44" s="122">
        <f t="shared" si="32"/>
        <v>152</v>
      </c>
      <c r="L44" s="122">
        <f t="shared" si="32"/>
        <v>69</v>
      </c>
      <c r="M44" s="122">
        <f t="shared" si="32"/>
        <v>933</v>
      </c>
      <c r="N44" s="123">
        <f>M44*100/G44</f>
        <v>0.15543549426987799</v>
      </c>
      <c r="O44" s="122">
        <f t="shared" si="32"/>
        <v>369</v>
      </c>
      <c r="P44" s="122">
        <f t="shared" si="32"/>
        <v>139</v>
      </c>
      <c r="Q44" s="122">
        <f t="shared" si="32"/>
        <v>621</v>
      </c>
      <c r="R44" s="122">
        <f t="shared" si="32"/>
        <v>317</v>
      </c>
      <c r="S44" s="122">
        <f t="shared" si="32"/>
        <v>104</v>
      </c>
      <c r="T44" s="122">
        <f t="shared" si="32"/>
        <v>1550</v>
      </c>
      <c r="U44" s="123">
        <f t="shared" ref="U44" si="33">T44*100/G44</f>
        <v>0.25822616947300203</v>
      </c>
      <c r="V44" s="122">
        <f t="shared" si="32"/>
        <v>347</v>
      </c>
      <c r="W44" s="122">
        <f t="shared" si="32"/>
        <v>149</v>
      </c>
      <c r="X44" s="122">
        <f t="shared" si="32"/>
        <v>532</v>
      </c>
      <c r="Y44" s="122">
        <f t="shared" si="32"/>
        <v>165</v>
      </c>
      <c r="Z44" s="122">
        <f t="shared" si="32"/>
        <v>123</v>
      </c>
      <c r="AA44" s="122">
        <f t="shared" si="32"/>
        <v>1316</v>
      </c>
      <c r="AB44" s="123">
        <f t="shared" ref="AB44" si="34">AA44*100/G44</f>
        <v>0.21924234775901336</v>
      </c>
      <c r="AC44" s="122">
        <f>AC11+AC25+AC38+AC43</f>
        <v>272</v>
      </c>
      <c r="AD44" s="122">
        <f t="shared" si="32"/>
        <v>6</v>
      </c>
      <c r="AE44" s="122">
        <f t="shared" si="32"/>
        <v>6833</v>
      </c>
    </row>
  </sheetData>
  <mergeCells count="9">
    <mergeCell ref="A1:AE1"/>
    <mergeCell ref="A3:A4"/>
    <mergeCell ref="B3:G3"/>
    <mergeCell ref="H3:M3"/>
    <mergeCell ref="N3:N4"/>
    <mergeCell ref="O3:T3"/>
    <mergeCell ref="U3:U4"/>
    <mergeCell ref="V3:AA3"/>
    <mergeCell ref="AB3:AB4"/>
  </mergeCell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2"/>
  <dimension ref="A1:K3"/>
  <sheetViews>
    <sheetView showGridLines="0" workbookViewId="0">
      <selection activeCell="I35" sqref="I35"/>
    </sheetView>
  </sheetViews>
  <sheetFormatPr baseColWidth="10" defaultColWidth="11.44140625" defaultRowHeight="15.6" x14ac:dyDescent="0.35"/>
  <cols>
    <col min="1" max="16384" width="11.44140625" style="353"/>
  </cols>
  <sheetData>
    <row r="1" spans="1:11" ht="16.2" thickBot="1" x14ac:dyDescent="0.4">
      <c r="G1" s="436"/>
    </row>
    <row r="2" spans="1:11" x14ac:dyDescent="0.35">
      <c r="A2" s="437"/>
      <c r="B2" s="438">
        <v>2016</v>
      </c>
      <c r="C2" s="438">
        <v>2017</v>
      </c>
      <c r="D2" s="438">
        <v>2018</v>
      </c>
      <c r="E2" s="439">
        <v>2019</v>
      </c>
      <c r="F2" s="439">
        <v>2020</v>
      </c>
      <c r="G2" s="438">
        <v>2021</v>
      </c>
      <c r="H2" s="438">
        <v>2022</v>
      </c>
      <c r="I2" s="438">
        <v>2023</v>
      </c>
      <c r="J2" s="438">
        <v>2024</v>
      </c>
      <c r="K2" s="440">
        <v>2025</v>
      </c>
    </row>
    <row r="3" spans="1:11" ht="16.2" thickBot="1" x14ac:dyDescent="0.4">
      <c r="A3" s="441" t="s">
        <v>85</v>
      </c>
      <c r="B3" s="442">
        <f>BEaH16!G37</f>
        <v>538500</v>
      </c>
      <c r="C3" s="442">
        <f>BEaH17!G37</f>
        <v>547956</v>
      </c>
      <c r="D3" s="442">
        <f>BEaH18!G37</f>
        <v>555048</v>
      </c>
      <c r="E3" s="443">
        <f>BEaH19!G37</f>
        <v>545587</v>
      </c>
      <c r="F3" s="444">
        <f>BEaH20!G37</f>
        <v>565886</v>
      </c>
      <c r="G3" s="442">
        <f>BEaH21!G37</f>
        <v>600461</v>
      </c>
      <c r="H3" s="442">
        <f>BEaH22!G37</f>
        <v>590109</v>
      </c>
      <c r="I3" s="442">
        <f>BEaH23!G38</f>
        <v>605883</v>
      </c>
      <c r="J3" s="442">
        <f>BEaH24!G50</f>
        <v>613768</v>
      </c>
      <c r="K3" s="445">
        <f>BEaH25!G50</f>
        <v>611780</v>
      </c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3"/>
  <dimension ref="A1:F102"/>
  <sheetViews>
    <sheetView showGridLines="0" zoomScaleNormal="100" workbookViewId="0">
      <selection activeCell="D5" sqref="D5"/>
    </sheetView>
  </sheetViews>
  <sheetFormatPr baseColWidth="10" defaultRowHeight="15.6" x14ac:dyDescent="0.35"/>
  <cols>
    <col min="1" max="1" width="24.5546875" style="353" customWidth="1"/>
    <col min="2" max="244" width="11.44140625" style="353"/>
    <col min="245" max="245" width="15.44140625" style="353" customWidth="1"/>
    <col min="246" max="248" width="0" style="353" hidden="1" customWidth="1"/>
    <col min="249" max="249" width="24.5546875" style="353" customWidth="1"/>
    <col min="250" max="254" width="0" style="353" hidden="1" customWidth="1"/>
    <col min="255" max="500" width="11.44140625" style="353"/>
    <col min="501" max="501" width="15.44140625" style="353" customWidth="1"/>
    <col min="502" max="504" width="0" style="353" hidden="1" customWidth="1"/>
    <col min="505" max="505" width="24.5546875" style="353" customWidth="1"/>
    <col min="506" max="510" width="0" style="353" hidden="1" customWidth="1"/>
    <col min="511" max="756" width="11.44140625" style="353"/>
    <col min="757" max="757" width="15.44140625" style="353" customWidth="1"/>
    <col min="758" max="760" width="0" style="353" hidden="1" customWidth="1"/>
    <col min="761" max="761" width="24.5546875" style="353" customWidth="1"/>
    <col min="762" max="766" width="0" style="353" hidden="1" customWidth="1"/>
    <col min="767" max="1012" width="11.44140625" style="353"/>
    <col min="1013" max="1013" width="15.44140625" style="353" customWidth="1"/>
    <col min="1014" max="1016" width="0" style="353" hidden="1" customWidth="1"/>
    <col min="1017" max="1017" width="24.5546875" style="353" customWidth="1"/>
    <col min="1018" max="1022" width="0" style="353" hidden="1" customWidth="1"/>
    <col min="1023" max="1268" width="11.44140625" style="353"/>
    <col min="1269" max="1269" width="15.44140625" style="353" customWidth="1"/>
    <col min="1270" max="1272" width="0" style="353" hidden="1" customWidth="1"/>
    <col min="1273" max="1273" width="24.5546875" style="353" customWidth="1"/>
    <col min="1274" max="1278" width="0" style="353" hidden="1" customWidth="1"/>
    <col min="1279" max="1524" width="11.44140625" style="353"/>
    <col min="1525" max="1525" width="15.44140625" style="353" customWidth="1"/>
    <col min="1526" max="1528" width="0" style="353" hidden="1" customWidth="1"/>
    <col min="1529" max="1529" width="24.5546875" style="353" customWidth="1"/>
    <col min="1530" max="1534" width="0" style="353" hidden="1" customWidth="1"/>
    <col min="1535" max="1780" width="11.44140625" style="353"/>
    <col min="1781" max="1781" width="15.44140625" style="353" customWidth="1"/>
    <col min="1782" max="1784" width="0" style="353" hidden="1" customWidth="1"/>
    <col min="1785" max="1785" width="24.5546875" style="353" customWidth="1"/>
    <col min="1786" max="1790" width="0" style="353" hidden="1" customWidth="1"/>
    <col min="1791" max="2036" width="11.44140625" style="353"/>
    <col min="2037" max="2037" width="15.44140625" style="353" customWidth="1"/>
    <col min="2038" max="2040" width="0" style="353" hidden="1" customWidth="1"/>
    <col min="2041" max="2041" width="24.5546875" style="353" customWidth="1"/>
    <col min="2042" max="2046" width="0" style="353" hidden="1" customWidth="1"/>
    <col min="2047" max="2292" width="11.44140625" style="353"/>
    <col min="2293" max="2293" width="15.44140625" style="353" customWidth="1"/>
    <col min="2294" max="2296" width="0" style="353" hidden="1" customWidth="1"/>
    <col min="2297" max="2297" width="24.5546875" style="353" customWidth="1"/>
    <col min="2298" max="2302" width="0" style="353" hidden="1" customWidth="1"/>
    <col min="2303" max="2548" width="11.44140625" style="353"/>
    <col min="2549" max="2549" width="15.44140625" style="353" customWidth="1"/>
    <col min="2550" max="2552" width="0" style="353" hidden="1" customWidth="1"/>
    <col min="2553" max="2553" width="24.5546875" style="353" customWidth="1"/>
    <col min="2554" max="2558" width="0" style="353" hidden="1" customWidth="1"/>
    <col min="2559" max="2804" width="11.44140625" style="353"/>
    <col min="2805" max="2805" width="15.44140625" style="353" customWidth="1"/>
    <col min="2806" max="2808" width="0" style="353" hidden="1" customWidth="1"/>
    <col min="2809" max="2809" width="24.5546875" style="353" customWidth="1"/>
    <col min="2810" max="2814" width="0" style="353" hidden="1" customWidth="1"/>
    <col min="2815" max="3060" width="11.44140625" style="353"/>
    <col min="3061" max="3061" width="15.44140625" style="353" customWidth="1"/>
    <col min="3062" max="3064" width="0" style="353" hidden="1" customWidth="1"/>
    <col min="3065" max="3065" width="24.5546875" style="353" customWidth="1"/>
    <col min="3066" max="3070" width="0" style="353" hidden="1" customWidth="1"/>
    <col min="3071" max="3316" width="11.44140625" style="353"/>
    <col min="3317" max="3317" width="15.44140625" style="353" customWidth="1"/>
    <col min="3318" max="3320" width="0" style="353" hidden="1" customWidth="1"/>
    <col min="3321" max="3321" width="24.5546875" style="353" customWidth="1"/>
    <col min="3322" max="3326" width="0" style="353" hidden="1" customWidth="1"/>
    <col min="3327" max="3572" width="11.44140625" style="353"/>
    <col min="3573" max="3573" width="15.44140625" style="353" customWidth="1"/>
    <col min="3574" max="3576" width="0" style="353" hidden="1" customWidth="1"/>
    <col min="3577" max="3577" width="24.5546875" style="353" customWidth="1"/>
    <col min="3578" max="3582" width="0" style="353" hidden="1" customWidth="1"/>
    <col min="3583" max="3828" width="11.44140625" style="353"/>
    <col min="3829" max="3829" width="15.44140625" style="353" customWidth="1"/>
    <col min="3830" max="3832" width="0" style="353" hidden="1" customWidth="1"/>
    <col min="3833" max="3833" width="24.5546875" style="353" customWidth="1"/>
    <col min="3834" max="3838" width="0" style="353" hidden="1" customWidth="1"/>
    <col min="3839" max="4084" width="11.44140625" style="353"/>
    <col min="4085" max="4085" width="15.44140625" style="353" customWidth="1"/>
    <col min="4086" max="4088" width="0" style="353" hidden="1" customWidth="1"/>
    <col min="4089" max="4089" width="24.5546875" style="353" customWidth="1"/>
    <col min="4090" max="4094" width="0" style="353" hidden="1" customWidth="1"/>
    <col min="4095" max="4340" width="11.44140625" style="353"/>
    <col min="4341" max="4341" width="15.44140625" style="353" customWidth="1"/>
    <col min="4342" max="4344" width="0" style="353" hidden="1" customWidth="1"/>
    <col min="4345" max="4345" width="24.5546875" style="353" customWidth="1"/>
    <col min="4346" max="4350" width="0" style="353" hidden="1" customWidth="1"/>
    <col min="4351" max="4596" width="11.44140625" style="353"/>
    <col min="4597" max="4597" width="15.44140625" style="353" customWidth="1"/>
    <col min="4598" max="4600" width="0" style="353" hidden="1" customWidth="1"/>
    <col min="4601" max="4601" width="24.5546875" style="353" customWidth="1"/>
    <col min="4602" max="4606" width="0" style="353" hidden="1" customWidth="1"/>
    <col min="4607" max="4852" width="11.44140625" style="353"/>
    <col min="4853" max="4853" width="15.44140625" style="353" customWidth="1"/>
    <col min="4854" max="4856" width="0" style="353" hidden="1" customWidth="1"/>
    <col min="4857" max="4857" width="24.5546875" style="353" customWidth="1"/>
    <col min="4858" max="4862" width="0" style="353" hidden="1" customWidth="1"/>
    <col min="4863" max="5108" width="11.44140625" style="353"/>
    <col min="5109" max="5109" width="15.44140625" style="353" customWidth="1"/>
    <col min="5110" max="5112" width="0" style="353" hidden="1" customWidth="1"/>
    <col min="5113" max="5113" width="24.5546875" style="353" customWidth="1"/>
    <col min="5114" max="5118" width="0" style="353" hidden="1" customWidth="1"/>
    <col min="5119" max="5364" width="11.44140625" style="353"/>
    <col min="5365" max="5365" width="15.44140625" style="353" customWidth="1"/>
    <col min="5366" max="5368" width="0" style="353" hidden="1" customWidth="1"/>
    <col min="5369" max="5369" width="24.5546875" style="353" customWidth="1"/>
    <col min="5370" max="5374" width="0" style="353" hidden="1" customWidth="1"/>
    <col min="5375" max="5620" width="11.44140625" style="353"/>
    <col min="5621" max="5621" width="15.44140625" style="353" customWidth="1"/>
    <col min="5622" max="5624" width="0" style="353" hidden="1" customWidth="1"/>
    <col min="5625" max="5625" width="24.5546875" style="353" customWidth="1"/>
    <col min="5626" max="5630" width="0" style="353" hidden="1" customWidth="1"/>
    <col min="5631" max="5876" width="11.44140625" style="353"/>
    <col min="5877" max="5877" width="15.44140625" style="353" customWidth="1"/>
    <col min="5878" max="5880" width="0" style="353" hidden="1" customWidth="1"/>
    <col min="5881" max="5881" width="24.5546875" style="353" customWidth="1"/>
    <col min="5882" max="5886" width="0" style="353" hidden="1" customWidth="1"/>
    <col min="5887" max="6132" width="11.44140625" style="353"/>
    <col min="6133" max="6133" width="15.44140625" style="353" customWidth="1"/>
    <col min="6134" max="6136" width="0" style="353" hidden="1" customWidth="1"/>
    <col min="6137" max="6137" width="24.5546875" style="353" customWidth="1"/>
    <col min="6138" max="6142" width="0" style="353" hidden="1" customWidth="1"/>
    <col min="6143" max="6388" width="11.44140625" style="353"/>
    <col min="6389" max="6389" width="15.44140625" style="353" customWidth="1"/>
    <col min="6390" max="6392" width="0" style="353" hidden="1" customWidth="1"/>
    <col min="6393" max="6393" width="24.5546875" style="353" customWidth="1"/>
    <col min="6394" max="6398" width="0" style="353" hidden="1" customWidth="1"/>
    <col min="6399" max="6644" width="11.44140625" style="353"/>
    <col min="6645" max="6645" width="15.44140625" style="353" customWidth="1"/>
    <col min="6646" max="6648" width="0" style="353" hidden="1" customWidth="1"/>
    <col min="6649" max="6649" width="24.5546875" style="353" customWidth="1"/>
    <col min="6650" max="6654" width="0" style="353" hidden="1" customWidth="1"/>
    <col min="6655" max="6900" width="11.44140625" style="353"/>
    <col min="6901" max="6901" width="15.44140625" style="353" customWidth="1"/>
    <col min="6902" max="6904" width="0" style="353" hidden="1" customWidth="1"/>
    <col min="6905" max="6905" width="24.5546875" style="353" customWidth="1"/>
    <col min="6906" max="6910" width="0" style="353" hidden="1" customWidth="1"/>
    <col min="6911" max="7156" width="11.44140625" style="353"/>
    <col min="7157" max="7157" width="15.44140625" style="353" customWidth="1"/>
    <col min="7158" max="7160" width="0" style="353" hidden="1" customWidth="1"/>
    <col min="7161" max="7161" width="24.5546875" style="353" customWidth="1"/>
    <col min="7162" max="7166" width="0" style="353" hidden="1" customWidth="1"/>
    <col min="7167" max="7412" width="11.44140625" style="353"/>
    <col min="7413" max="7413" width="15.44140625" style="353" customWidth="1"/>
    <col min="7414" max="7416" width="0" style="353" hidden="1" customWidth="1"/>
    <col min="7417" max="7417" width="24.5546875" style="353" customWidth="1"/>
    <col min="7418" max="7422" width="0" style="353" hidden="1" customWidth="1"/>
    <col min="7423" max="7668" width="11.44140625" style="353"/>
    <col min="7669" max="7669" width="15.44140625" style="353" customWidth="1"/>
    <col min="7670" max="7672" width="0" style="353" hidden="1" customWidth="1"/>
    <col min="7673" max="7673" width="24.5546875" style="353" customWidth="1"/>
    <col min="7674" max="7678" width="0" style="353" hidden="1" customWidth="1"/>
    <col min="7679" max="7924" width="11.44140625" style="353"/>
    <col min="7925" max="7925" width="15.44140625" style="353" customWidth="1"/>
    <col min="7926" max="7928" width="0" style="353" hidden="1" customWidth="1"/>
    <col min="7929" max="7929" width="24.5546875" style="353" customWidth="1"/>
    <col min="7930" max="7934" width="0" style="353" hidden="1" customWidth="1"/>
    <col min="7935" max="8180" width="11.44140625" style="353"/>
    <col min="8181" max="8181" width="15.44140625" style="353" customWidth="1"/>
    <col min="8182" max="8184" width="0" style="353" hidden="1" customWidth="1"/>
    <col min="8185" max="8185" width="24.5546875" style="353" customWidth="1"/>
    <col min="8186" max="8190" width="0" style="353" hidden="1" customWidth="1"/>
    <col min="8191" max="8436" width="11.44140625" style="353"/>
    <col min="8437" max="8437" width="15.44140625" style="353" customWidth="1"/>
    <col min="8438" max="8440" width="0" style="353" hidden="1" customWidth="1"/>
    <col min="8441" max="8441" width="24.5546875" style="353" customWidth="1"/>
    <col min="8442" max="8446" width="0" style="353" hidden="1" customWidth="1"/>
    <col min="8447" max="8692" width="11.44140625" style="353"/>
    <col min="8693" max="8693" width="15.44140625" style="353" customWidth="1"/>
    <col min="8694" max="8696" width="0" style="353" hidden="1" customWidth="1"/>
    <col min="8697" max="8697" width="24.5546875" style="353" customWidth="1"/>
    <col min="8698" max="8702" width="0" style="353" hidden="1" customWidth="1"/>
    <col min="8703" max="8948" width="11.44140625" style="353"/>
    <col min="8949" max="8949" width="15.44140625" style="353" customWidth="1"/>
    <col min="8950" max="8952" width="0" style="353" hidden="1" customWidth="1"/>
    <col min="8953" max="8953" width="24.5546875" style="353" customWidth="1"/>
    <col min="8954" max="8958" width="0" style="353" hidden="1" customWidth="1"/>
    <col min="8959" max="9204" width="11.44140625" style="353"/>
    <col min="9205" max="9205" width="15.44140625" style="353" customWidth="1"/>
    <col min="9206" max="9208" width="0" style="353" hidden="1" customWidth="1"/>
    <col min="9209" max="9209" width="24.5546875" style="353" customWidth="1"/>
    <col min="9210" max="9214" width="0" style="353" hidden="1" customWidth="1"/>
    <col min="9215" max="9460" width="11.44140625" style="353"/>
    <col min="9461" max="9461" width="15.44140625" style="353" customWidth="1"/>
    <col min="9462" max="9464" width="0" style="353" hidden="1" customWidth="1"/>
    <col min="9465" max="9465" width="24.5546875" style="353" customWidth="1"/>
    <col min="9466" max="9470" width="0" style="353" hidden="1" customWidth="1"/>
    <col min="9471" max="9716" width="11.44140625" style="353"/>
    <col min="9717" max="9717" width="15.44140625" style="353" customWidth="1"/>
    <col min="9718" max="9720" width="0" style="353" hidden="1" customWidth="1"/>
    <col min="9721" max="9721" width="24.5546875" style="353" customWidth="1"/>
    <col min="9722" max="9726" width="0" style="353" hidden="1" customWidth="1"/>
    <col min="9727" max="9972" width="11.44140625" style="353"/>
    <col min="9973" max="9973" width="15.44140625" style="353" customWidth="1"/>
    <col min="9974" max="9976" width="0" style="353" hidden="1" customWidth="1"/>
    <col min="9977" max="9977" width="24.5546875" style="353" customWidth="1"/>
    <col min="9978" max="9982" width="0" style="353" hidden="1" customWidth="1"/>
    <col min="9983" max="10228" width="11.44140625" style="353"/>
    <col min="10229" max="10229" width="15.44140625" style="353" customWidth="1"/>
    <col min="10230" max="10232" width="0" style="353" hidden="1" customWidth="1"/>
    <col min="10233" max="10233" width="24.5546875" style="353" customWidth="1"/>
    <col min="10234" max="10238" width="0" style="353" hidden="1" customWidth="1"/>
    <col min="10239" max="10484" width="11.44140625" style="353"/>
    <col min="10485" max="10485" width="15.44140625" style="353" customWidth="1"/>
    <col min="10486" max="10488" width="0" style="353" hidden="1" customWidth="1"/>
    <col min="10489" max="10489" width="24.5546875" style="353" customWidth="1"/>
    <col min="10490" max="10494" width="0" style="353" hidden="1" customWidth="1"/>
    <col min="10495" max="10740" width="11.44140625" style="353"/>
    <col min="10741" max="10741" width="15.44140625" style="353" customWidth="1"/>
    <col min="10742" max="10744" width="0" style="353" hidden="1" customWidth="1"/>
    <col min="10745" max="10745" width="24.5546875" style="353" customWidth="1"/>
    <col min="10746" max="10750" width="0" style="353" hidden="1" customWidth="1"/>
    <col min="10751" max="10996" width="11.44140625" style="353"/>
    <col min="10997" max="10997" width="15.44140625" style="353" customWidth="1"/>
    <col min="10998" max="11000" width="0" style="353" hidden="1" customWidth="1"/>
    <col min="11001" max="11001" width="24.5546875" style="353" customWidth="1"/>
    <col min="11002" max="11006" width="0" style="353" hidden="1" customWidth="1"/>
    <col min="11007" max="11252" width="11.44140625" style="353"/>
    <col min="11253" max="11253" width="15.44140625" style="353" customWidth="1"/>
    <col min="11254" max="11256" width="0" style="353" hidden="1" customWidth="1"/>
    <col min="11257" max="11257" width="24.5546875" style="353" customWidth="1"/>
    <col min="11258" max="11262" width="0" style="353" hidden="1" customWidth="1"/>
    <col min="11263" max="11508" width="11.44140625" style="353"/>
    <col min="11509" max="11509" width="15.44140625" style="353" customWidth="1"/>
    <col min="11510" max="11512" width="0" style="353" hidden="1" customWidth="1"/>
    <col min="11513" max="11513" width="24.5546875" style="353" customWidth="1"/>
    <col min="11514" max="11518" width="0" style="353" hidden="1" customWidth="1"/>
    <col min="11519" max="11764" width="11.44140625" style="353"/>
    <col min="11765" max="11765" width="15.44140625" style="353" customWidth="1"/>
    <col min="11766" max="11768" width="0" style="353" hidden="1" customWidth="1"/>
    <col min="11769" max="11769" width="24.5546875" style="353" customWidth="1"/>
    <col min="11770" max="11774" width="0" style="353" hidden="1" customWidth="1"/>
    <col min="11775" max="12020" width="11.44140625" style="353"/>
    <col min="12021" max="12021" width="15.44140625" style="353" customWidth="1"/>
    <col min="12022" max="12024" width="0" style="353" hidden="1" customWidth="1"/>
    <col min="12025" max="12025" width="24.5546875" style="353" customWidth="1"/>
    <col min="12026" max="12030" width="0" style="353" hidden="1" customWidth="1"/>
    <col min="12031" max="12276" width="11.44140625" style="353"/>
    <col min="12277" max="12277" width="15.44140625" style="353" customWidth="1"/>
    <col min="12278" max="12280" width="0" style="353" hidden="1" customWidth="1"/>
    <col min="12281" max="12281" width="24.5546875" style="353" customWidth="1"/>
    <col min="12282" max="12286" width="0" style="353" hidden="1" customWidth="1"/>
    <col min="12287" max="12532" width="11.44140625" style="353"/>
    <col min="12533" max="12533" width="15.44140625" style="353" customWidth="1"/>
    <col min="12534" max="12536" width="0" style="353" hidden="1" customWidth="1"/>
    <col min="12537" max="12537" width="24.5546875" style="353" customWidth="1"/>
    <col min="12538" max="12542" width="0" style="353" hidden="1" customWidth="1"/>
    <col min="12543" max="12788" width="11.44140625" style="353"/>
    <col min="12789" max="12789" width="15.44140625" style="353" customWidth="1"/>
    <col min="12790" max="12792" width="0" style="353" hidden="1" customWidth="1"/>
    <col min="12793" max="12793" width="24.5546875" style="353" customWidth="1"/>
    <col min="12794" max="12798" width="0" style="353" hidden="1" customWidth="1"/>
    <col min="12799" max="13044" width="11.44140625" style="353"/>
    <col min="13045" max="13045" width="15.44140625" style="353" customWidth="1"/>
    <col min="13046" max="13048" width="0" style="353" hidden="1" customWidth="1"/>
    <col min="13049" max="13049" width="24.5546875" style="353" customWidth="1"/>
    <col min="13050" max="13054" width="0" style="353" hidden="1" customWidth="1"/>
    <col min="13055" max="13300" width="11.44140625" style="353"/>
    <col min="13301" max="13301" width="15.44140625" style="353" customWidth="1"/>
    <col min="13302" max="13304" width="0" style="353" hidden="1" customWidth="1"/>
    <col min="13305" max="13305" width="24.5546875" style="353" customWidth="1"/>
    <col min="13306" max="13310" width="0" style="353" hidden="1" customWidth="1"/>
    <col min="13311" max="13556" width="11.44140625" style="353"/>
    <col min="13557" max="13557" width="15.44140625" style="353" customWidth="1"/>
    <col min="13558" max="13560" width="0" style="353" hidden="1" customWidth="1"/>
    <col min="13561" max="13561" width="24.5546875" style="353" customWidth="1"/>
    <col min="13562" max="13566" width="0" style="353" hidden="1" customWidth="1"/>
    <col min="13567" max="13812" width="11.44140625" style="353"/>
    <col min="13813" max="13813" width="15.44140625" style="353" customWidth="1"/>
    <col min="13814" max="13816" width="0" style="353" hidden="1" customWidth="1"/>
    <col min="13817" max="13817" width="24.5546875" style="353" customWidth="1"/>
    <col min="13818" max="13822" width="0" style="353" hidden="1" customWidth="1"/>
    <col min="13823" max="14068" width="11.44140625" style="353"/>
    <col min="14069" max="14069" width="15.44140625" style="353" customWidth="1"/>
    <col min="14070" max="14072" width="0" style="353" hidden="1" customWidth="1"/>
    <col min="14073" max="14073" width="24.5546875" style="353" customWidth="1"/>
    <col min="14074" max="14078" width="0" style="353" hidden="1" customWidth="1"/>
    <col min="14079" max="14324" width="11.44140625" style="353"/>
    <col min="14325" max="14325" width="15.44140625" style="353" customWidth="1"/>
    <col min="14326" max="14328" width="0" style="353" hidden="1" customWidth="1"/>
    <col min="14329" max="14329" width="24.5546875" style="353" customWidth="1"/>
    <col min="14330" max="14334" width="0" style="353" hidden="1" customWidth="1"/>
    <col min="14335" max="14580" width="11.44140625" style="353"/>
    <col min="14581" max="14581" width="15.44140625" style="353" customWidth="1"/>
    <col min="14582" max="14584" width="0" style="353" hidden="1" customWidth="1"/>
    <col min="14585" max="14585" width="24.5546875" style="353" customWidth="1"/>
    <col min="14586" max="14590" width="0" style="353" hidden="1" customWidth="1"/>
    <col min="14591" max="14836" width="11.44140625" style="353"/>
    <col min="14837" max="14837" width="15.44140625" style="353" customWidth="1"/>
    <col min="14838" max="14840" width="0" style="353" hidden="1" customWidth="1"/>
    <col min="14841" max="14841" width="24.5546875" style="353" customWidth="1"/>
    <col min="14842" max="14846" width="0" style="353" hidden="1" customWidth="1"/>
    <col min="14847" max="15092" width="11.44140625" style="353"/>
    <col min="15093" max="15093" width="15.44140625" style="353" customWidth="1"/>
    <col min="15094" max="15096" width="0" style="353" hidden="1" customWidth="1"/>
    <col min="15097" max="15097" width="24.5546875" style="353" customWidth="1"/>
    <col min="15098" max="15102" width="0" style="353" hidden="1" customWidth="1"/>
    <col min="15103" max="15348" width="11.44140625" style="353"/>
    <col min="15349" max="15349" width="15.44140625" style="353" customWidth="1"/>
    <col min="15350" max="15352" width="0" style="353" hidden="1" customWidth="1"/>
    <col min="15353" max="15353" width="24.5546875" style="353" customWidth="1"/>
    <col min="15354" max="15358" width="0" style="353" hidden="1" customWidth="1"/>
    <col min="15359" max="15604" width="11.44140625" style="353"/>
    <col min="15605" max="15605" width="15.44140625" style="353" customWidth="1"/>
    <col min="15606" max="15608" width="0" style="353" hidden="1" customWidth="1"/>
    <col min="15609" max="15609" width="24.5546875" style="353" customWidth="1"/>
    <col min="15610" max="15614" width="0" style="353" hidden="1" customWidth="1"/>
    <col min="15615" max="15860" width="11.44140625" style="353"/>
    <col min="15861" max="15861" width="15.44140625" style="353" customWidth="1"/>
    <col min="15862" max="15864" width="0" style="353" hidden="1" customWidth="1"/>
    <col min="15865" max="15865" width="24.5546875" style="353" customWidth="1"/>
    <col min="15866" max="15870" width="0" style="353" hidden="1" customWidth="1"/>
    <col min="15871" max="16116" width="11.44140625" style="353"/>
    <col min="16117" max="16117" width="15.44140625" style="353" customWidth="1"/>
    <col min="16118" max="16120" width="0" style="353" hidden="1" customWidth="1"/>
    <col min="16121" max="16121" width="24.5546875" style="353" customWidth="1"/>
    <col min="16122" max="16126" width="0" style="353" hidden="1" customWidth="1"/>
    <col min="16127" max="16372" width="11.44140625" style="353"/>
    <col min="16373" max="16373" width="11.44140625" style="353" customWidth="1"/>
    <col min="16374" max="16380" width="11.44140625" style="353"/>
    <col min="16381" max="16384" width="11.44140625" style="353" customWidth="1"/>
  </cols>
  <sheetData>
    <row r="1" spans="1:6" ht="16.2" thickBot="1" x14ac:dyDescent="0.4">
      <c r="A1" s="354"/>
      <c r="B1" s="446">
        <v>2021</v>
      </c>
      <c r="C1" s="446">
        <v>2022</v>
      </c>
      <c r="D1" s="446">
        <v>2023</v>
      </c>
      <c r="E1" s="446">
        <v>2024</v>
      </c>
      <c r="F1" s="417">
        <v>2025</v>
      </c>
    </row>
    <row r="2" spans="1:6" x14ac:dyDescent="0.35">
      <c r="A2" s="357" t="s">
        <v>86</v>
      </c>
      <c r="B2" s="447">
        <f>BEaH21!B37</f>
        <v>117784</v>
      </c>
      <c r="C2" s="447">
        <f>BEaH22!B37</f>
        <v>119004</v>
      </c>
      <c r="D2" s="447">
        <f>BEaH23!B38</f>
        <v>113211</v>
      </c>
      <c r="E2" s="447">
        <f>BEaH24!B50</f>
        <v>114235</v>
      </c>
      <c r="F2" s="448">
        <f>BEaH25!B50</f>
        <v>116676</v>
      </c>
    </row>
    <row r="3" spans="1:6" x14ac:dyDescent="0.35">
      <c r="A3" s="360" t="s">
        <v>69</v>
      </c>
      <c r="B3" s="449">
        <f>BEaH21!C37</f>
        <v>76434</v>
      </c>
      <c r="C3" s="449">
        <f>BEaH22!C37</f>
        <v>79966</v>
      </c>
      <c r="D3" s="449">
        <f>BEaH23!C38</f>
        <v>80204</v>
      </c>
      <c r="E3" s="449">
        <f>BEaH24!C50</f>
        <v>80955</v>
      </c>
      <c r="F3" s="450">
        <f>BEaH25!C50</f>
        <v>79501</v>
      </c>
    </row>
    <row r="4" spans="1:6" x14ac:dyDescent="0.35">
      <c r="A4" s="360" t="s">
        <v>87</v>
      </c>
      <c r="B4" s="449">
        <f>BEaH21!D37</f>
        <v>164938</v>
      </c>
      <c r="C4" s="449">
        <f>BEaH22!D37</f>
        <v>144302</v>
      </c>
      <c r="D4" s="449">
        <f>BEaH23!D38</f>
        <v>168368</v>
      </c>
      <c r="E4" s="449">
        <f>BEaH24!D50</f>
        <v>178875</v>
      </c>
      <c r="F4" s="450">
        <f>BEaH25!D50</f>
        <v>167872</v>
      </c>
    </row>
    <row r="5" spans="1:6" x14ac:dyDescent="0.35">
      <c r="A5" s="360" t="s">
        <v>88</v>
      </c>
      <c r="B5" s="449">
        <f>BEaH21!E37</f>
        <v>149451</v>
      </c>
      <c r="C5" s="449">
        <f>BEaH22!E37</f>
        <v>150318</v>
      </c>
      <c r="D5" s="449">
        <f>BEaH23!E38</f>
        <v>153457</v>
      </c>
      <c r="E5" s="449">
        <f>BEaH24!E50</f>
        <v>145413</v>
      </c>
      <c r="F5" s="450">
        <f>BEaH25!E50</f>
        <v>152216</v>
      </c>
    </row>
    <row r="6" spans="1:6" ht="16.2" thickBot="1" x14ac:dyDescent="0.4">
      <c r="A6" s="364" t="s">
        <v>89</v>
      </c>
      <c r="B6" s="451">
        <f>BEaH21!F37</f>
        <v>91854</v>
      </c>
      <c r="C6" s="451">
        <f>BEaH22!F37</f>
        <v>96519</v>
      </c>
      <c r="D6" s="451">
        <f>BEaH23!F38</f>
        <v>90643</v>
      </c>
      <c r="E6" s="451">
        <f>BEaH24!F50</f>
        <v>94290</v>
      </c>
      <c r="F6" s="452">
        <f>BEaH25!F50</f>
        <v>95515</v>
      </c>
    </row>
    <row r="7" spans="1:6" ht="16.2" thickBot="1" x14ac:dyDescent="0.4">
      <c r="A7" s="354"/>
      <c r="B7" s="453">
        <f t="shared" ref="B7:F7" si="0">SUM(B2:B6)</f>
        <v>600461</v>
      </c>
      <c r="C7" s="453">
        <f t="shared" si="0"/>
        <v>590109</v>
      </c>
      <c r="D7" s="453">
        <f t="shared" si="0"/>
        <v>605883</v>
      </c>
      <c r="E7" s="453">
        <f t="shared" si="0"/>
        <v>613768</v>
      </c>
      <c r="F7" s="454">
        <f t="shared" si="0"/>
        <v>611780</v>
      </c>
    </row>
    <row r="54" spans="1:2" x14ac:dyDescent="0.35">
      <c r="A54" s="371"/>
      <c r="B54" s="371"/>
    </row>
    <row r="55" spans="1:2" x14ac:dyDescent="0.35">
      <c r="A55" s="371"/>
      <c r="B55" s="371"/>
    </row>
    <row r="56" spans="1:2" x14ac:dyDescent="0.35">
      <c r="A56" s="371"/>
      <c r="B56" s="371"/>
    </row>
    <row r="57" spans="1:2" x14ac:dyDescent="0.35">
      <c r="A57" s="371"/>
      <c r="B57" s="371"/>
    </row>
    <row r="58" spans="1:2" x14ac:dyDescent="0.35">
      <c r="A58" s="371"/>
      <c r="B58" s="371"/>
    </row>
    <row r="59" spans="1:2" x14ac:dyDescent="0.35">
      <c r="A59" s="371"/>
      <c r="B59" s="371"/>
    </row>
    <row r="60" spans="1:2" x14ac:dyDescent="0.35">
      <c r="A60" s="371"/>
      <c r="B60" s="371"/>
    </row>
    <row r="61" spans="1:2" x14ac:dyDescent="0.35">
      <c r="A61" s="371"/>
      <c r="B61" s="371"/>
    </row>
    <row r="62" spans="1:2" x14ac:dyDescent="0.35">
      <c r="A62" s="371"/>
      <c r="B62" s="371"/>
    </row>
    <row r="63" spans="1:2" x14ac:dyDescent="0.35">
      <c r="A63" s="371"/>
      <c r="B63" s="371"/>
    </row>
    <row r="64" spans="1:2" x14ac:dyDescent="0.35">
      <c r="A64" s="371"/>
      <c r="B64" s="371"/>
    </row>
    <row r="65" spans="1:2" x14ac:dyDescent="0.35">
      <c r="A65" s="371"/>
      <c r="B65" s="371"/>
    </row>
    <row r="66" spans="1:2" x14ac:dyDescent="0.35">
      <c r="A66" s="371"/>
      <c r="B66" s="371"/>
    </row>
    <row r="67" spans="1:2" x14ac:dyDescent="0.35">
      <c r="A67" s="371"/>
      <c r="B67" s="371"/>
    </row>
    <row r="92" spans="1:1" x14ac:dyDescent="0.35">
      <c r="A92" s="370"/>
    </row>
    <row r="93" spans="1:1" x14ac:dyDescent="0.35">
      <c r="A93" s="371"/>
    </row>
    <row r="94" spans="1:1" x14ac:dyDescent="0.35">
      <c r="A94" s="371"/>
    </row>
    <row r="95" spans="1:1" x14ac:dyDescent="0.35">
      <c r="A95" s="371"/>
    </row>
    <row r="96" spans="1:1" x14ac:dyDescent="0.35">
      <c r="A96" s="371"/>
    </row>
    <row r="97" spans="1:1" x14ac:dyDescent="0.35">
      <c r="A97" s="371"/>
    </row>
    <row r="98" spans="1:1" x14ac:dyDescent="0.35">
      <c r="A98" s="371"/>
    </row>
    <row r="99" spans="1:1" x14ac:dyDescent="0.35">
      <c r="A99" s="371"/>
    </row>
    <row r="100" spans="1:1" x14ac:dyDescent="0.35">
      <c r="A100" s="371"/>
    </row>
    <row r="101" spans="1:1" x14ac:dyDescent="0.35">
      <c r="A101" s="371"/>
    </row>
    <row r="102" spans="1:1" x14ac:dyDescent="0.35">
      <c r="A102" s="371"/>
    </row>
  </sheetData>
  <pageMargins left="0.78740157499999996" right="0.78740157499999996" top="0.984251969" bottom="0.984251969" header="0.4921259845" footer="0.4921259845"/>
  <pageSetup paperSize="9" scale="61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DD77-1E11-4FEF-A546-A70B9FB4A9DE}">
  <dimension ref="A1:L7"/>
  <sheetViews>
    <sheetView showGridLines="0" workbookViewId="0">
      <selection activeCell="K18" sqref="K18"/>
    </sheetView>
  </sheetViews>
  <sheetFormatPr baseColWidth="10" defaultColWidth="10.88671875" defaultRowHeight="15.6" x14ac:dyDescent="0.35"/>
  <cols>
    <col min="1" max="1" width="31.44140625" style="426" customWidth="1"/>
    <col min="2" max="16384" width="10.88671875" style="426"/>
  </cols>
  <sheetData>
    <row r="1" spans="1:12" ht="13.8" customHeight="1" thickBot="1" x14ac:dyDescent="0.4">
      <c r="A1" s="424"/>
      <c r="B1" s="569" t="s">
        <v>152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</row>
    <row r="2" spans="1:12" ht="16.2" thickBot="1" x14ac:dyDescent="0.4">
      <c r="A2" s="427"/>
      <c r="B2" s="455">
        <v>2015</v>
      </c>
      <c r="C2" s="455">
        <v>2016</v>
      </c>
      <c r="D2" s="455">
        <v>2017</v>
      </c>
      <c r="E2" s="456">
        <v>2018</v>
      </c>
      <c r="F2" s="455">
        <v>2019</v>
      </c>
      <c r="G2" s="455">
        <v>2020</v>
      </c>
      <c r="H2" s="455">
        <v>2021</v>
      </c>
      <c r="I2" s="455">
        <v>2022</v>
      </c>
      <c r="J2" s="455">
        <v>2023</v>
      </c>
      <c r="K2" s="457">
        <v>2024</v>
      </c>
      <c r="L2" s="457">
        <v>2025</v>
      </c>
    </row>
    <row r="3" spans="1:12" ht="16.2" thickBot="1" x14ac:dyDescent="0.4">
      <c r="A3" s="458" t="s">
        <v>25</v>
      </c>
      <c r="B3" s="434">
        <f>BEaH15!N35</f>
        <v>0.13146886578223976</v>
      </c>
      <c r="C3" s="434">
        <f>BEaH16!N35</f>
        <v>0.63424947145877375</v>
      </c>
      <c r="D3" s="434">
        <f>BEaH17!N35</f>
        <v>0.35629453681710216</v>
      </c>
      <c r="E3" s="434">
        <f>BEaH18!N35</f>
        <v>0.20920502092050208</v>
      </c>
      <c r="F3" s="434">
        <f>BEaH19!N35</f>
        <v>0.30120481927710846</v>
      </c>
      <c r="G3" s="434">
        <f>BEaH20!N35</f>
        <v>0.22918258212375858</v>
      </c>
      <c r="H3" s="434">
        <f>BEaH21!N35</f>
        <v>0.85242408098028766</v>
      </c>
      <c r="I3" s="434">
        <f>BEaH22!N35</f>
        <v>2.5147928994082842</v>
      </c>
      <c r="J3" s="434">
        <f>BEaH23!N36</f>
        <v>1.3175230566534915</v>
      </c>
      <c r="K3" s="435">
        <f>BEaH24!T41</f>
        <v>1.059001512859304</v>
      </c>
      <c r="L3" s="435">
        <f>BEaH25!T41</f>
        <v>0.28735632183908044</v>
      </c>
    </row>
    <row r="4" spans="1:12" ht="31.8" thickBot="1" x14ac:dyDescent="0.4">
      <c r="A4" s="458" t="s">
        <v>167</v>
      </c>
      <c r="B4" s="434">
        <f>(BEaH15!M37-BEaH15!M35)*100/(BEaH15!G37-BEaH15!G35)</f>
        <v>0.14380760967496015</v>
      </c>
      <c r="C4" s="434">
        <f>(BEaH16!M37-BEaH16!M35)*100/(BEaH16!G37-BEaH16!G35)</f>
        <v>0.13419400885085692</v>
      </c>
      <c r="D4" s="434">
        <f>(BEaH17!M37-BEaH17!M35)*100/(BEaH17!G37-BEaH17!G35)</f>
        <v>0.13854516608969977</v>
      </c>
      <c r="E4" s="434">
        <f>(BEaH18!M37-BEaH18!M35)*100/(BEaH18!G37-BEaH18!G35)</f>
        <v>0.12958136915891225</v>
      </c>
      <c r="F4" s="434">
        <f>(BEaH19!M37-BEaH19!M35)*100/(BEaH19!G37-BEaH19!G35)</f>
        <v>0.12607285800012111</v>
      </c>
      <c r="G4" s="434">
        <f>(BEaH20!M37-BEaH20!M35)*100/(BEaH20!G37-BEaH20!G35)</f>
        <v>0.136208170010468</v>
      </c>
      <c r="H4" s="434">
        <f>(BEaH21!M37-BEaH21!M35)*100/(BEaH21!G37-BEaH21!G35)</f>
        <v>0.14383946112826271</v>
      </c>
      <c r="I4" s="434">
        <f>(BEaH22!M37-BEaH22!M35)*100/(BEaH22!G37-BEaH22!G35)</f>
        <v>0.15099256404035744</v>
      </c>
      <c r="J4" s="434">
        <f>(BEaH23!M38-BEaH23!M36)*100/(BEaH23!G38-BEaH23!G36)</f>
        <v>0.1505476563481204</v>
      </c>
      <c r="K4" s="435">
        <f>(BEaH24!R50+BEaH24!S50-BEaH24!R41-BEaH24!S41)*100/(BEaH24!G50-BEaH24!G41)</f>
        <v>0.19132060146108265</v>
      </c>
      <c r="L4" s="435">
        <f>(BEaH25!R50+BEaH25!S50-BEaH25!R41-BEaH25!S41)*100/(BEaH25!G50-BEaH25!G41)</f>
        <v>0.17847318645044669</v>
      </c>
    </row>
    <row r="5" spans="1:12" ht="16.2" thickBot="1" x14ac:dyDescent="0.4">
      <c r="A5" s="458" t="s">
        <v>153</v>
      </c>
      <c r="B5" s="434">
        <f>BEaH15!N11</f>
        <v>0.19207024283166416</v>
      </c>
      <c r="C5" s="434">
        <f>BEaH16!N11</f>
        <v>0.203334688897926</v>
      </c>
      <c r="D5" s="434">
        <f>BEaH17!N11</f>
        <v>0.1367801942278758</v>
      </c>
      <c r="E5" s="434">
        <f>BEaH18!N11</f>
        <v>0.49871542995315099</v>
      </c>
      <c r="F5" s="434">
        <f>BEaH19!N11</f>
        <v>0.32128514056224899</v>
      </c>
      <c r="G5" s="434">
        <f>BEaH20!N11</f>
        <v>0.23209036051369333</v>
      </c>
      <c r="H5" s="434">
        <f>BEaH21!N11</f>
        <v>0.49170251997541486</v>
      </c>
      <c r="I5" s="434">
        <f>BEaH22!N11</f>
        <v>0.24291497975708501</v>
      </c>
      <c r="J5" s="434">
        <f>BEaH23!N12</f>
        <v>0.38467703157557298</v>
      </c>
      <c r="K5" s="435">
        <f>BEaH24!T13</f>
        <v>0.38878989146282195</v>
      </c>
      <c r="L5" s="435">
        <f>BEaH25!T13</f>
        <v>0.37332428304768367</v>
      </c>
    </row>
    <row r="6" spans="1:12" ht="16.2" thickBot="1" x14ac:dyDescent="0.4">
      <c r="A6" s="458" t="s">
        <v>154</v>
      </c>
      <c r="B6" s="434">
        <f>BEaH15!N25</f>
        <v>0.3127932436659368</v>
      </c>
      <c r="C6" s="434">
        <f>BEaH16!N25</f>
        <v>0.3947231744053184</v>
      </c>
      <c r="D6" s="434">
        <f>BEaH17!N25</f>
        <v>0.19244403929909856</v>
      </c>
      <c r="E6" s="434">
        <f>BEaH18!N25</f>
        <v>0.29686174724342662</v>
      </c>
      <c r="F6" s="434">
        <f>BEaH19!N25</f>
        <v>0.33314825097168238</v>
      </c>
      <c r="G6" s="434">
        <f>BEaH20!N25</f>
        <v>0.32981530343007914</v>
      </c>
      <c r="H6" s="434">
        <f>BEaH21!N25</f>
        <v>0.44057715607445752</v>
      </c>
      <c r="I6" s="434">
        <f>BEaH22!N25</f>
        <v>0.54176072234762984</v>
      </c>
      <c r="J6" s="434">
        <f>BEaH23!N26</f>
        <v>0.52112835617990261</v>
      </c>
      <c r="K6" s="435">
        <f>BEaH24!T28</f>
        <v>0.56762092793682128</v>
      </c>
      <c r="L6" s="435">
        <f>BEaH25!T28</f>
        <v>0.419473751112241</v>
      </c>
    </row>
    <row r="7" spans="1:12" ht="16.2" thickBot="1" x14ac:dyDescent="0.4">
      <c r="A7" s="458" t="s">
        <v>155</v>
      </c>
      <c r="B7" s="434">
        <f>BEaH15!N37</f>
        <v>0.14361201263331003</v>
      </c>
      <c r="C7" s="434">
        <f>BEaH16!N37</f>
        <v>0.13463324048282266</v>
      </c>
      <c r="D7" s="434">
        <f>BEaH17!N37</f>
        <v>0.13887976406864785</v>
      </c>
      <c r="E7" s="434">
        <f>BEaH18!N37</f>
        <v>0.12971851083149566</v>
      </c>
      <c r="F7" s="434">
        <f>BEaH19!N37</f>
        <v>0.12628600021628081</v>
      </c>
      <c r="G7" s="434">
        <f>BEaH20!N37</f>
        <v>0.13642323718911584</v>
      </c>
      <c r="H7" s="434">
        <f>BEaH21!N37</f>
        <v>0.14605444816565938</v>
      </c>
      <c r="I7" s="434">
        <f>BEaH22!N37</f>
        <v>0.15370041805835871</v>
      </c>
      <c r="J7" s="434">
        <f>BEaH23!N38</f>
        <v>0.1520095463975718</v>
      </c>
      <c r="K7" s="435">
        <f>BEaH24!T50</f>
        <v>0.19225505402692875</v>
      </c>
      <c r="L7" s="435">
        <f>BEaH25!T50</f>
        <v>0.17865899506358496</v>
      </c>
    </row>
  </sheetData>
  <mergeCells count="1">
    <mergeCell ref="B1:L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E17B0-215F-47B3-80CF-635536C3EF47}">
  <dimension ref="A1:L24"/>
  <sheetViews>
    <sheetView showGridLines="0" workbookViewId="0">
      <selection activeCell="B6" sqref="B6"/>
    </sheetView>
  </sheetViews>
  <sheetFormatPr baseColWidth="10" defaultColWidth="10.88671875" defaultRowHeight="15.6" x14ac:dyDescent="0.35"/>
  <cols>
    <col min="1" max="1" width="31.5546875" style="426" customWidth="1"/>
    <col min="2" max="16384" width="10.88671875" style="426"/>
  </cols>
  <sheetData>
    <row r="1" spans="1:12" ht="13.5" customHeight="1" thickBot="1" x14ac:dyDescent="0.4">
      <c r="A1" s="424"/>
      <c r="B1" s="569" t="s">
        <v>156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</row>
    <row r="2" spans="1:12" ht="16.2" thickBot="1" x14ac:dyDescent="0.4">
      <c r="A2" s="459"/>
      <c r="B2" s="460">
        <v>2015</v>
      </c>
      <c r="C2" s="455">
        <v>2016</v>
      </c>
      <c r="D2" s="455">
        <v>2017</v>
      </c>
      <c r="E2" s="456">
        <v>2018</v>
      </c>
      <c r="F2" s="455">
        <v>2019</v>
      </c>
      <c r="G2" s="455">
        <v>2020</v>
      </c>
      <c r="H2" s="455">
        <v>2021</v>
      </c>
      <c r="I2" s="455">
        <v>2022</v>
      </c>
      <c r="J2" s="455">
        <v>2023</v>
      </c>
      <c r="K2" s="457">
        <v>2024</v>
      </c>
      <c r="L2" s="457">
        <v>2025</v>
      </c>
    </row>
    <row r="3" spans="1:12" ht="16.2" thickBot="1" x14ac:dyDescent="0.4">
      <c r="A3" s="461" t="s">
        <v>25</v>
      </c>
      <c r="B3" s="462">
        <f>BEaH15!U35</f>
        <v>0.11951715071112705</v>
      </c>
      <c r="C3" s="434">
        <f>BEaH16!U35</f>
        <v>2.3255813953488373</v>
      </c>
      <c r="D3" s="434">
        <f>BEaH17!U35</f>
        <v>0.71258907363420432</v>
      </c>
      <c r="E3" s="434">
        <f>BEaH18!U35</f>
        <v>1.2552301255230125</v>
      </c>
      <c r="F3" s="434">
        <f>BEaH19!U35</f>
        <v>1.2048192771084338</v>
      </c>
      <c r="G3" s="434">
        <f>BEaH20!U35</f>
        <v>0.30557677616501144</v>
      </c>
      <c r="H3" s="434">
        <f>BEaH21!U35</f>
        <v>0.15982951518380395</v>
      </c>
      <c r="I3" s="434">
        <f>BEaH22!U35</f>
        <v>2.2189349112426036</v>
      </c>
      <c r="J3" s="434">
        <f>BEaH23!U36</f>
        <v>0.5270092226613966</v>
      </c>
      <c r="K3" s="435">
        <f>BEaH24!AG41</f>
        <v>0.45385779122541603</v>
      </c>
      <c r="L3" s="435">
        <f>BEaH25!AG41</f>
        <v>0.47892720306513409</v>
      </c>
    </row>
    <row r="4" spans="1:12" ht="31.8" thickBot="1" x14ac:dyDescent="0.4">
      <c r="A4" s="461" t="s">
        <v>167</v>
      </c>
      <c r="B4" s="462">
        <f>(BEaH15!T37-BEaH15!T35)*100/(BEaH15!G37-BEaH15!G35)</f>
        <v>0.20271675098759442</v>
      </c>
      <c r="C4" s="434">
        <f>(BEaH16!T37-BEaH16!T35)*100/(BEaH16!G37-BEaH16!G35)</f>
        <v>0.18976742802870489</v>
      </c>
      <c r="D4" s="434">
        <f>(BEaH17!T37-BEaH17!T35)*100/(BEaH17!G37-BEaH17!G35)</f>
        <v>0.18625003198602119</v>
      </c>
      <c r="E4" s="434">
        <f>(BEaH18!T37-BEaH18!T35)*100/(BEaH18!G37-BEaH18!G35)</f>
        <v>0.18516780606830635</v>
      </c>
      <c r="F4" s="434">
        <f>(BEaH19!T37-BEaH19!T35)*100/(BEaH19!G37-BEaH19!G35)</f>
        <v>0.20479957718796968</v>
      </c>
      <c r="G4" s="434">
        <f>(BEaH20!T37-BEaH20!T35)*100/(BEaH20!G37-BEaH20!G35)</f>
        <v>0.17871787196432018</v>
      </c>
      <c r="H4" s="434">
        <f>(BEaH21!T37-BEaH21!T35)*100/(BEaH21!G37-BEaH21!G35)</f>
        <v>0.18844472956176578</v>
      </c>
      <c r="I4" s="434">
        <f>(BEaH22!T37-BEaH22!T35)*100/(BEaH22!G37-BEaH22!G35)</f>
        <v>0.18254831337912875</v>
      </c>
      <c r="J4" s="434">
        <f>(BEaH23!T38-BEaH23!T36)*100/(BEaH23!G38-BEaH23!G36)</f>
        <v>0.1601324687171555</v>
      </c>
      <c r="K4" s="435">
        <f>(BEaH24!AE50+BEaH24!AF50-BEaH24!AE41-BEaH24!AF41)*100/(BEaH24!G50-BEaH24!G41)</f>
        <v>0.19474577846933733</v>
      </c>
      <c r="L4" s="435">
        <f>(BEaH25!AE50+BEaH25!AF50-BEaH25!AE41-BEaH25!AF41)*100/(BEaH25!G50-BEaH25!G41)</f>
        <v>0.17421602787456447</v>
      </c>
    </row>
    <row r="5" spans="1:12" ht="16.2" thickBot="1" x14ac:dyDescent="0.4">
      <c r="A5" s="461" t="s">
        <v>153</v>
      </c>
      <c r="B5" s="462">
        <f>BEaH15!U11</f>
        <v>0.45273700096035119</v>
      </c>
      <c r="C5" s="434">
        <f>BEaH16!U11</f>
        <v>0.39311373186932358</v>
      </c>
      <c r="D5" s="434">
        <f>BEaH17!U11</f>
        <v>0.39666256326083982</v>
      </c>
      <c r="E5" s="434">
        <f>BEaH18!U11</f>
        <v>0.80096720568233337</v>
      </c>
      <c r="F5" s="434">
        <f>BEaH19!U11</f>
        <v>0.81927710843373491</v>
      </c>
      <c r="G5" s="434">
        <f>BEaH20!U11</f>
        <v>0.69627108154107997</v>
      </c>
      <c r="H5" s="434">
        <f>BEaH21!U11</f>
        <v>0.82974800245851255</v>
      </c>
      <c r="I5" s="434">
        <f>BEaH22!U11</f>
        <v>0.50202429149797567</v>
      </c>
      <c r="J5" s="434">
        <f>BEaH23!U12</f>
        <v>0.6090719666613239</v>
      </c>
      <c r="K5" s="435">
        <f>BEaH24!AG13</f>
        <v>0.51838652195042934</v>
      </c>
      <c r="L5" s="435">
        <f>BEaH25!AG13</f>
        <v>0.4412014254199898</v>
      </c>
    </row>
    <row r="6" spans="1:12" ht="16.2" thickBot="1" x14ac:dyDescent="0.4">
      <c r="A6" s="461" t="s">
        <v>154</v>
      </c>
      <c r="B6" s="462">
        <f>BEaH15!U25</f>
        <v>0.40663121676571784</v>
      </c>
      <c r="C6" s="434">
        <f>BEaH16!U25</f>
        <v>0.69595928118832451</v>
      </c>
      <c r="D6" s="434">
        <f>BEaH17!U25</f>
        <v>0.51656031601336982</v>
      </c>
      <c r="E6" s="434">
        <f>BEaH18!U25</f>
        <v>0.59372349448685324</v>
      </c>
      <c r="F6" s="434">
        <f>BEaH19!U25</f>
        <v>0.75513603553581343</v>
      </c>
      <c r="G6" s="434">
        <f>BEaH20!U25</f>
        <v>0.56068601583113453</v>
      </c>
      <c r="H6" s="434">
        <f>BEaH21!U25</f>
        <v>0.75999559422843921</v>
      </c>
      <c r="I6" s="434">
        <f>BEaH22!U25</f>
        <v>0.50790067720090293</v>
      </c>
      <c r="J6" s="434">
        <f>BEaH23!U26</f>
        <v>0.45315509233035006</v>
      </c>
      <c r="K6" s="435">
        <f>BEaH24!AG28</f>
        <v>0.65399802566633758</v>
      </c>
      <c r="L6" s="435">
        <f>BEaH25!AG28</f>
        <v>0.49574170585992117</v>
      </c>
    </row>
    <row r="7" spans="1:12" ht="16.2" thickBot="1" x14ac:dyDescent="0.4">
      <c r="A7" s="461" t="s">
        <v>166</v>
      </c>
      <c r="B7" s="462">
        <f>BEaH15!U37</f>
        <v>0.20139784885119863</v>
      </c>
      <c r="C7" s="434">
        <f>BEaH16!U37</f>
        <v>0.19164345403899721</v>
      </c>
      <c r="D7" s="434">
        <f>BEaH17!U37</f>
        <v>0.18705881494134566</v>
      </c>
      <c r="E7" s="434">
        <f>BEaH18!U37</f>
        <v>0.18701085311540624</v>
      </c>
      <c r="F7" s="434">
        <f>BEaH19!U37</f>
        <v>0.206016638959506</v>
      </c>
      <c r="G7" s="434">
        <f>BEaH20!U37</f>
        <v>0.1790113203012621</v>
      </c>
      <c r="H7" s="434">
        <f>BEaH21!U37</f>
        <v>0.18835528035959037</v>
      </c>
      <c r="I7" s="434">
        <f>BEaH22!U37</f>
        <v>0.18488109823778318</v>
      </c>
      <c r="J7" s="434">
        <f>BEaH23!U38</f>
        <v>0.16059206150362362</v>
      </c>
      <c r="K7" s="435">
        <f>BEaH24!AG50</f>
        <v>0.19502483022901163</v>
      </c>
      <c r="L7" s="435">
        <f>BEaH25!AG50</f>
        <v>0.17473601621497925</v>
      </c>
    </row>
    <row r="24" s="426" customFormat="1" ht="13.05" customHeight="1" x14ac:dyDescent="0.35"/>
  </sheetData>
  <mergeCells count="1">
    <mergeCell ref="B1:L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D4469-C16A-4C8A-8E09-F5578D96F944}">
  <dimension ref="A1:L6"/>
  <sheetViews>
    <sheetView showGridLines="0" workbookViewId="0">
      <selection activeCell="K2" sqref="K2"/>
    </sheetView>
  </sheetViews>
  <sheetFormatPr baseColWidth="10" defaultColWidth="10.88671875" defaultRowHeight="15.6" x14ac:dyDescent="0.35"/>
  <cols>
    <col min="1" max="1" width="31.88671875" style="426" customWidth="1"/>
    <col min="2" max="2" width="13" style="466" bestFit="1" customWidth="1"/>
    <col min="3" max="12" width="5.88671875" style="426" bestFit="1" customWidth="1"/>
    <col min="13" max="16384" width="10.88671875" style="426"/>
  </cols>
  <sheetData>
    <row r="1" spans="1:12" ht="16.2" thickBot="1" x14ac:dyDescent="0.4">
      <c r="A1" s="463"/>
      <c r="B1" s="570" t="s">
        <v>157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</row>
    <row r="2" spans="1:12" ht="31.8" thickBot="1" x14ac:dyDescent="0.4">
      <c r="A2" s="427"/>
      <c r="B2" s="464" t="s">
        <v>109</v>
      </c>
      <c r="C2" s="429">
        <v>2016</v>
      </c>
      <c r="D2" s="429">
        <v>2017</v>
      </c>
      <c r="E2" s="430">
        <v>2018</v>
      </c>
      <c r="F2" s="429">
        <v>2019</v>
      </c>
      <c r="G2" s="429">
        <v>2020</v>
      </c>
      <c r="H2" s="429">
        <v>2021</v>
      </c>
      <c r="I2" s="429">
        <v>2022</v>
      </c>
      <c r="J2" s="429">
        <v>2023</v>
      </c>
      <c r="K2" s="429">
        <v>2024</v>
      </c>
      <c r="L2" s="431">
        <v>2025</v>
      </c>
    </row>
    <row r="3" spans="1:12" ht="16.2" thickBot="1" x14ac:dyDescent="0.4">
      <c r="A3" s="461" t="s">
        <v>159</v>
      </c>
      <c r="B3" s="465">
        <f t="shared" ref="B3:B5" si="0">AVERAGE(C3:L3)</f>
        <v>0.38642984123026497</v>
      </c>
      <c r="C3" s="434">
        <f>BEaH16!N40</f>
        <v>0.55172413793103448</v>
      </c>
      <c r="D3" s="434">
        <f>BEaH17!N40</f>
        <v>0.25510204081632654</v>
      </c>
      <c r="E3" s="434">
        <f>BEaH18!N40</f>
        <v>0.44843049327354262</v>
      </c>
      <c r="F3" s="434">
        <f>BEaH19!N40</f>
        <v>0</v>
      </c>
      <c r="G3" s="434">
        <f>BEaH20!N40</f>
        <v>9.7134531325886356E-2</v>
      </c>
      <c r="H3" s="434">
        <f>BEaH21!N40</f>
        <v>0</v>
      </c>
      <c r="I3" s="434">
        <f>BEaH22!N40</f>
        <v>0.38585209003215432</v>
      </c>
      <c r="J3" s="434">
        <f>BEaH23!N41</f>
        <v>0.61012812690665041</v>
      </c>
      <c r="K3" s="434">
        <f>BEaH24!T54</f>
        <v>0.92699884125144849</v>
      </c>
      <c r="L3" s="435">
        <f>BEaH25!T54</f>
        <v>0.58892815076560656</v>
      </c>
    </row>
    <row r="4" spans="1:12" ht="31.8" thickBot="1" x14ac:dyDescent="0.4">
      <c r="A4" s="461" t="s">
        <v>168</v>
      </c>
      <c r="B4" s="465">
        <f t="shared" si="0"/>
        <v>0.32736145199734729</v>
      </c>
      <c r="C4" s="434">
        <f>BEaH16!N11</f>
        <v>0.203334688897926</v>
      </c>
      <c r="D4" s="434">
        <f>BEaH17!N11</f>
        <v>0.1367801942278758</v>
      </c>
      <c r="E4" s="434">
        <f>BEaH18!N11</f>
        <v>0.49871542995315099</v>
      </c>
      <c r="F4" s="434">
        <f>BEaH19!N11</f>
        <v>0.32128514056224899</v>
      </c>
      <c r="G4" s="434">
        <f>BEaH20!N11</f>
        <v>0.23209036051369333</v>
      </c>
      <c r="H4" s="434">
        <f>BEaH21!N11</f>
        <v>0.49170251997541486</v>
      </c>
      <c r="I4" s="434">
        <f>BEaH22!N11</f>
        <v>0.24291497975708501</v>
      </c>
      <c r="J4" s="434">
        <f>BEaH23!N12</f>
        <v>0.38467703157557298</v>
      </c>
      <c r="K4" s="434">
        <f>BEaH24!T13</f>
        <v>0.38878989146282195</v>
      </c>
      <c r="L4" s="435">
        <f>BEaH25!T13</f>
        <v>0.37332428304768367</v>
      </c>
    </row>
    <row r="5" spans="1:12" ht="31.8" thickBot="1" x14ac:dyDescent="0.4">
      <c r="A5" s="461" t="s">
        <v>169</v>
      </c>
      <c r="B5" s="465">
        <f t="shared" si="0"/>
        <v>0.40375534290006571</v>
      </c>
      <c r="C5" s="434">
        <f>BEaH16!N25</f>
        <v>0.3947231744053184</v>
      </c>
      <c r="D5" s="434">
        <f>BEaH17!N25</f>
        <v>0.19244403929909856</v>
      </c>
      <c r="E5" s="434">
        <f>BEaH18!N25</f>
        <v>0.29686174724342662</v>
      </c>
      <c r="F5" s="434">
        <f>BEaH19!N25</f>
        <v>0.33314825097168238</v>
      </c>
      <c r="G5" s="434">
        <f>BEaH20!N25</f>
        <v>0.32981530343007914</v>
      </c>
      <c r="H5" s="434">
        <f>BEaH21!N25</f>
        <v>0.44057715607445752</v>
      </c>
      <c r="I5" s="434">
        <f>BEaH22!N25</f>
        <v>0.54176072234762984</v>
      </c>
      <c r="J5" s="434">
        <f>BEaH23!N26</f>
        <v>0.52112835617990261</v>
      </c>
      <c r="K5" s="434">
        <f>BEaH24!T28</f>
        <v>0.56762092793682128</v>
      </c>
      <c r="L5" s="435">
        <f>BEaH25!T28</f>
        <v>0.419473751112241</v>
      </c>
    </row>
    <row r="6" spans="1:12" ht="31.8" thickBot="1" x14ac:dyDescent="0.4">
      <c r="A6" s="461" t="s">
        <v>170</v>
      </c>
      <c r="B6" s="465">
        <f>AVERAGE(C6:L6)</f>
        <v>0.14886192145004667</v>
      </c>
      <c r="C6" s="434">
        <f>BEaH16!N37</f>
        <v>0.13463324048282266</v>
      </c>
      <c r="D6" s="434">
        <f>BEaH17!N37</f>
        <v>0.13887976406864785</v>
      </c>
      <c r="E6" s="434">
        <f>BEaH18!N37</f>
        <v>0.12971851083149566</v>
      </c>
      <c r="F6" s="434">
        <f>BEaH19!N37</f>
        <v>0.12628600021628081</v>
      </c>
      <c r="G6" s="434">
        <f>BEaH20!N37</f>
        <v>0.13642323718911584</v>
      </c>
      <c r="H6" s="434">
        <f>BEaH21!N37</f>
        <v>0.14605444816565938</v>
      </c>
      <c r="I6" s="434">
        <f>BEaH22!N37</f>
        <v>0.15370041805835871</v>
      </c>
      <c r="J6" s="434">
        <f>BEaH23!N38</f>
        <v>0.1520095463975718</v>
      </c>
      <c r="K6" s="434">
        <f>BEaH24!T50</f>
        <v>0.19225505402692875</v>
      </c>
      <c r="L6" s="435">
        <f>BEaH25!T50</f>
        <v>0.17865899506358496</v>
      </c>
    </row>
  </sheetData>
  <mergeCells count="1">
    <mergeCell ref="B1:L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6E37-7516-4BED-9A8D-3D90942BF8FA}">
  <dimension ref="A1:L6"/>
  <sheetViews>
    <sheetView showGridLines="0" workbookViewId="0">
      <selection activeCell="L3" sqref="L3"/>
    </sheetView>
  </sheetViews>
  <sheetFormatPr baseColWidth="10" defaultColWidth="10.88671875" defaultRowHeight="15.6" x14ac:dyDescent="0.35"/>
  <cols>
    <col min="1" max="1" width="31.88671875" style="426" customWidth="1"/>
    <col min="2" max="2" width="13" style="426" bestFit="1" customWidth="1"/>
    <col min="3" max="12" width="5.88671875" style="426" bestFit="1" customWidth="1"/>
    <col min="13" max="16384" width="10.88671875" style="426"/>
  </cols>
  <sheetData>
    <row r="1" spans="1:12" ht="16.2" thickBot="1" x14ac:dyDescent="0.4">
      <c r="A1" s="463"/>
      <c r="B1" s="570" t="s">
        <v>158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</row>
    <row r="2" spans="1:12" ht="31.8" thickBot="1" x14ac:dyDescent="0.4">
      <c r="A2" s="427"/>
      <c r="B2" s="464" t="s">
        <v>109</v>
      </c>
      <c r="C2" s="429">
        <v>2016</v>
      </c>
      <c r="D2" s="429">
        <v>2017</v>
      </c>
      <c r="E2" s="430">
        <v>2018</v>
      </c>
      <c r="F2" s="429">
        <v>2019</v>
      </c>
      <c r="G2" s="429">
        <v>2020</v>
      </c>
      <c r="H2" s="429">
        <v>2021</v>
      </c>
      <c r="I2" s="429">
        <v>2022</v>
      </c>
      <c r="J2" s="429">
        <v>2023</v>
      </c>
      <c r="K2" s="429">
        <v>2024</v>
      </c>
      <c r="L2" s="431">
        <v>2025</v>
      </c>
    </row>
    <row r="3" spans="1:12" ht="16.2" thickBot="1" x14ac:dyDescent="0.4">
      <c r="A3" s="461" t="s">
        <v>159</v>
      </c>
      <c r="B3" s="465">
        <f>AVERAGE(C3:L3)</f>
        <v>0.52050175103937957</v>
      </c>
      <c r="C3" s="434">
        <f>BEaH16!U40</f>
        <v>0.55172413793103448</v>
      </c>
      <c r="D3" s="434">
        <f>BEaH17!U40</f>
        <v>1.2755102040816326</v>
      </c>
      <c r="E3" s="434">
        <f>BEaH18!U40</f>
        <v>0.7847533632286996</v>
      </c>
      <c r="F3" s="434">
        <f>BEaH19!U40</f>
        <v>0.53078556263269638</v>
      </c>
      <c r="G3" s="434">
        <f>BEaH20!U40</f>
        <v>0.48567265662943176</v>
      </c>
      <c r="H3" s="434">
        <f>BEaH21!U40</f>
        <v>0.16835016835016836</v>
      </c>
      <c r="I3" s="434">
        <f>BEaH22!U40</f>
        <v>0.25723472668810288</v>
      </c>
      <c r="J3" s="434">
        <f>BEaH23!U41</f>
        <v>0.54911531421598536</v>
      </c>
      <c r="K3" s="434">
        <f>BEaH24!AG54</f>
        <v>0.40556199304750867</v>
      </c>
      <c r="L3" s="435">
        <f>BEaH25!AG54</f>
        <v>0.19630938358853553</v>
      </c>
    </row>
    <row r="4" spans="1:12" ht="31.8" thickBot="1" x14ac:dyDescent="0.4">
      <c r="A4" s="461" t="s">
        <v>168</v>
      </c>
      <c r="B4" s="465">
        <f t="shared" ref="B4:B6" si="0">AVERAGE(C4:L4)</f>
        <v>0.60067238987755422</v>
      </c>
      <c r="C4" s="434">
        <f>BEaH16!U11</f>
        <v>0.39311373186932358</v>
      </c>
      <c r="D4" s="434">
        <f>BEaH17!U11</f>
        <v>0.39666256326083982</v>
      </c>
      <c r="E4" s="434">
        <f>BEaH18!U11</f>
        <v>0.80096720568233337</v>
      </c>
      <c r="F4" s="434">
        <f>BEaH19!U11</f>
        <v>0.81927710843373491</v>
      </c>
      <c r="G4" s="434">
        <f>BEaH20!U11</f>
        <v>0.69627108154107997</v>
      </c>
      <c r="H4" s="434">
        <f>BEaH21!U11</f>
        <v>0.82974800245851255</v>
      </c>
      <c r="I4" s="434">
        <f>BEaH22!U11</f>
        <v>0.50202429149797567</v>
      </c>
      <c r="J4" s="434">
        <f>BEaH23!U12</f>
        <v>0.6090719666613239</v>
      </c>
      <c r="K4" s="434">
        <f>BEaH24!AG13</f>
        <v>0.51838652195042934</v>
      </c>
      <c r="L4" s="435">
        <f>BEaH25!AG13</f>
        <v>0.4412014254199898</v>
      </c>
    </row>
    <row r="5" spans="1:12" ht="31.8" thickBot="1" x14ac:dyDescent="0.4">
      <c r="A5" s="461" t="s">
        <v>169</v>
      </c>
      <c r="B5" s="465">
        <f t="shared" si="0"/>
        <v>0.59928562383414463</v>
      </c>
      <c r="C5" s="434">
        <f>BEaH16!U25</f>
        <v>0.69595928118832451</v>
      </c>
      <c r="D5" s="434">
        <f>BEaH17!U25</f>
        <v>0.51656031601336982</v>
      </c>
      <c r="E5" s="434">
        <f>BEaH18!U25</f>
        <v>0.59372349448685324</v>
      </c>
      <c r="F5" s="434">
        <f>BEaH19!U25</f>
        <v>0.75513603553581343</v>
      </c>
      <c r="G5" s="434">
        <f>BEaH20!U25</f>
        <v>0.56068601583113453</v>
      </c>
      <c r="H5" s="434">
        <f>BEaH21!U25</f>
        <v>0.75999559422843921</v>
      </c>
      <c r="I5" s="434">
        <f>BEaH22!U25</f>
        <v>0.50790067720090293</v>
      </c>
      <c r="J5" s="434">
        <f>BEaH23!U26</f>
        <v>0.45315509233035006</v>
      </c>
      <c r="K5" s="434">
        <f>BEaH24!AG28</f>
        <v>0.65399802566633758</v>
      </c>
      <c r="L5" s="435">
        <f>BEaH25!AG28</f>
        <v>0.49574170585992117</v>
      </c>
    </row>
    <row r="6" spans="1:12" ht="31.8" thickBot="1" x14ac:dyDescent="0.4">
      <c r="A6" s="461" t="s">
        <v>170</v>
      </c>
      <c r="B6" s="465">
        <f t="shared" si="0"/>
        <v>0.18543303679015052</v>
      </c>
      <c r="C6" s="434">
        <f>BEaH16!U37</f>
        <v>0.19164345403899721</v>
      </c>
      <c r="D6" s="434">
        <f>BEaH17!U37</f>
        <v>0.18705881494134566</v>
      </c>
      <c r="E6" s="434">
        <f>BEaH18!U37</f>
        <v>0.18701085311540624</v>
      </c>
      <c r="F6" s="434">
        <f>BEaH19!U37</f>
        <v>0.206016638959506</v>
      </c>
      <c r="G6" s="434">
        <f>BEaH20!U37</f>
        <v>0.1790113203012621</v>
      </c>
      <c r="H6" s="434">
        <f>BEaH21!U37</f>
        <v>0.18835528035959037</v>
      </c>
      <c r="I6" s="434">
        <f>BEaH22!U37</f>
        <v>0.18488109823778318</v>
      </c>
      <c r="J6" s="434">
        <f>BEaH23!U38</f>
        <v>0.16059206150362362</v>
      </c>
      <c r="K6" s="434">
        <f>BEaH24!AG50</f>
        <v>0.19502483022901163</v>
      </c>
      <c r="L6" s="435">
        <f>BEaH25!AG50</f>
        <v>0.17473601621497925</v>
      </c>
    </row>
  </sheetData>
  <mergeCells count="1">
    <mergeCell ref="B1:L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4"/>
  <dimension ref="A1:B27"/>
  <sheetViews>
    <sheetView showGridLines="0" zoomScale="115" zoomScaleNormal="115" workbookViewId="0">
      <selection activeCell="B8" sqref="B8"/>
    </sheetView>
  </sheetViews>
  <sheetFormatPr baseColWidth="10" defaultRowHeight="15.6" x14ac:dyDescent="0.35"/>
  <cols>
    <col min="1" max="1" width="43.88671875" style="353" bestFit="1" customWidth="1"/>
    <col min="2" max="241" width="11.44140625" style="353"/>
    <col min="242" max="242" width="25.44140625" style="353" customWidth="1"/>
    <col min="243" max="246" width="0" style="353" hidden="1" customWidth="1"/>
    <col min="247" max="248" width="11.44140625" style="353"/>
    <col min="249" max="249" width="0" style="353" hidden="1" customWidth="1"/>
    <col min="250" max="250" width="17.5546875" style="353" customWidth="1"/>
    <col min="251" max="251" width="11.44140625" style="353"/>
    <col min="252" max="252" width="26" style="353" bestFit="1" customWidth="1"/>
    <col min="253" max="255" width="11.44140625" style="353"/>
    <col min="256" max="256" width="30.44140625" style="353" customWidth="1"/>
    <col min="257" max="497" width="11.44140625" style="353"/>
    <col min="498" max="498" width="25.44140625" style="353" customWidth="1"/>
    <col min="499" max="502" width="0" style="353" hidden="1" customWidth="1"/>
    <col min="503" max="504" width="11.44140625" style="353"/>
    <col min="505" max="505" width="0" style="353" hidden="1" customWidth="1"/>
    <col min="506" max="506" width="17.5546875" style="353" customWidth="1"/>
    <col min="507" max="507" width="11.44140625" style="353"/>
    <col min="508" max="508" width="26" style="353" bestFit="1" customWidth="1"/>
    <col min="509" max="511" width="11.44140625" style="353"/>
    <col min="512" max="512" width="30.44140625" style="353" customWidth="1"/>
    <col min="513" max="753" width="11.44140625" style="353"/>
    <col min="754" max="754" width="25.44140625" style="353" customWidth="1"/>
    <col min="755" max="758" width="0" style="353" hidden="1" customWidth="1"/>
    <col min="759" max="760" width="11.44140625" style="353"/>
    <col min="761" max="761" width="0" style="353" hidden="1" customWidth="1"/>
    <col min="762" max="762" width="17.5546875" style="353" customWidth="1"/>
    <col min="763" max="763" width="11.44140625" style="353"/>
    <col min="764" max="764" width="26" style="353" bestFit="1" customWidth="1"/>
    <col min="765" max="767" width="11.44140625" style="353"/>
    <col min="768" max="768" width="30.44140625" style="353" customWidth="1"/>
    <col min="769" max="1009" width="11.44140625" style="353"/>
    <col min="1010" max="1010" width="25.44140625" style="353" customWidth="1"/>
    <col min="1011" max="1014" width="0" style="353" hidden="1" customWidth="1"/>
    <col min="1015" max="1016" width="11.44140625" style="353"/>
    <col min="1017" max="1017" width="0" style="353" hidden="1" customWidth="1"/>
    <col min="1018" max="1018" width="17.5546875" style="353" customWidth="1"/>
    <col min="1019" max="1019" width="11.44140625" style="353"/>
    <col min="1020" max="1020" width="26" style="353" bestFit="1" customWidth="1"/>
    <col min="1021" max="1023" width="11.44140625" style="353"/>
    <col min="1024" max="1024" width="30.44140625" style="353" customWidth="1"/>
    <col min="1025" max="1265" width="11.44140625" style="353"/>
    <col min="1266" max="1266" width="25.44140625" style="353" customWidth="1"/>
    <col min="1267" max="1270" width="0" style="353" hidden="1" customWidth="1"/>
    <col min="1271" max="1272" width="11.44140625" style="353"/>
    <col min="1273" max="1273" width="0" style="353" hidden="1" customWidth="1"/>
    <col min="1274" max="1274" width="17.5546875" style="353" customWidth="1"/>
    <col min="1275" max="1275" width="11.44140625" style="353"/>
    <col min="1276" max="1276" width="26" style="353" bestFit="1" customWidth="1"/>
    <col min="1277" max="1279" width="11.44140625" style="353"/>
    <col min="1280" max="1280" width="30.44140625" style="353" customWidth="1"/>
    <col min="1281" max="1521" width="11.44140625" style="353"/>
    <col min="1522" max="1522" width="25.44140625" style="353" customWidth="1"/>
    <col min="1523" max="1526" width="0" style="353" hidden="1" customWidth="1"/>
    <col min="1527" max="1528" width="11.44140625" style="353"/>
    <col min="1529" max="1529" width="0" style="353" hidden="1" customWidth="1"/>
    <col min="1530" max="1530" width="17.5546875" style="353" customWidth="1"/>
    <col min="1531" max="1531" width="11.44140625" style="353"/>
    <col min="1532" max="1532" width="26" style="353" bestFit="1" customWidth="1"/>
    <col min="1533" max="1535" width="11.44140625" style="353"/>
    <col min="1536" max="1536" width="30.44140625" style="353" customWidth="1"/>
    <col min="1537" max="1777" width="11.44140625" style="353"/>
    <col min="1778" max="1778" width="25.44140625" style="353" customWidth="1"/>
    <col min="1779" max="1782" width="0" style="353" hidden="1" customWidth="1"/>
    <col min="1783" max="1784" width="11.44140625" style="353"/>
    <col min="1785" max="1785" width="0" style="353" hidden="1" customWidth="1"/>
    <col min="1786" max="1786" width="17.5546875" style="353" customWidth="1"/>
    <col min="1787" max="1787" width="11.44140625" style="353"/>
    <col min="1788" max="1788" width="26" style="353" bestFit="1" customWidth="1"/>
    <col min="1789" max="1791" width="11.44140625" style="353"/>
    <col min="1792" max="1792" width="30.44140625" style="353" customWidth="1"/>
    <col min="1793" max="2033" width="11.44140625" style="353"/>
    <col min="2034" max="2034" width="25.44140625" style="353" customWidth="1"/>
    <col min="2035" max="2038" width="0" style="353" hidden="1" customWidth="1"/>
    <col min="2039" max="2040" width="11.44140625" style="353"/>
    <col min="2041" max="2041" width="0" style="353" hidden="1" customWidth="1"/>
    <col min="2042" max="2042" width="17.5546875" style="353" customWidth="1"/>
    <col min="2043" max="2043" width="11.44140625" style="353"/>
    <col min="2044" max="2044" width="26" style="353" bestFit="1" customWidth="1"/>
    <col min="2045" max="2047" width="11.44140625" style="353"/>
    <col min="2048" max="2048" width="30.44140625" style="353" customWidth="1"/>
    <col min="2049" max="2289" width="11.44140625" style="353"/>
    <col min="2290" max="2290" width="25.44140625" style="353" customWidth="1"/>
    <col min="2291" max="2294" width="0" style="353" hidden="1" customWidth="1"/>
    <col min="2295" max="2296" width="11.44140625" style="353"/>
    <col min="2297" max="2297" width="0" style="353" hidden="1" customWidth="1"/>
    <col min="2298" max="2298" width="17.5546875" style="353" customWidth="1"/>
    <col min="2299" max="2299" width="11.44140625" style="353"/>
    <col min="2300" max="2300" width="26" style="353" bestFit="1" customWidth="1"/>
    <col min="2301" max="2303" width="11.44140625" style="353"/>
    <col min="2304" max="2304" width="30.44140625" style="353" customWidth="1"/>
    <col min="2305" max="2545" width="11.44140625" style="353"/>
    <col min="2546" max="2546" width="25.44140625" style="353" customWidth="1"/>
    <col min="2547" max="2550" width="0" style="353" hidden="1" customWidth="1"/>
    <col min="2551" max="2552" width="11.44140625" style="353"/>
    <col min="2553" max="2553" width="0" style="353" hidden="1" customWidth="1"/>
    <col min="2554" max="2554" width="17.5546875" style="353" customWidth="1"/>
    <col min="2555" max="2555" width="11.44140625" style="353"/>
    <col min="2556" max="2556" width="26" style="353" bestFit="1" customWidth="1"/>
    <col min="2557" max="2559" width="11.44140625" style="353"/>
    <col min="2560" max="2560" width="30.44140625" style="353" customWidth="1"/>
    <col min="2561" max="2801" width="11.44140625" style="353"/>
    <col min="2802" max="2802" width="25.44140625" style="353" customWidth="1"/>
    <col min="2803" max="2806" width="0" style="353" hidden="1" customWidth="1"/>
    <col min="2807" max="2808" width="11.44140625" style="353"/>
    <col min="2809" max="2809" width="0" style="353" hidden="1" customWidth="1"/>
    <col min="2810" max="2810" width="17.5546875" style="353" customWidth="1"/>
    <col min="2811" max="2811" width="11.44140625" style="353"/>
    <col min="2812" max="2812" width="26" style="353" bestFit="1" customWidth="1"/>
    <col min="2813" max="2815" width="11.44140625" style="353"/>
    <col min="2816" max="2816" width="30.44140625" style="353" customWidth="1"/>
    <col min="2817" max="3057" width="11.44140625" style="353"/>
    <col min="3058" max="3058" width="25.44140625" style="353" customWidth="1"/>
    <col min="3059" max="3062" width="0" style="353" hidden="1" customWidth="1"/>
    <col min="3063" max="3064" width="11.44140625" style="353"/>
    <col min="3065" max="3065" width="0" style="353" hidden="1" customWidth="1"/>
    <col min="3066" max="3066" width="17.5546875" style="353" customWidth="1"/>
    <col min="3067" max="3067" width="11.44140625" style="353"/>
    <col min="3068" max="3068" width="26" style="353" bestFit="1" customWidth="1"/>
    <col min="3069" max="3071" width="11.44140625" style="353"/>
    <col min="3072" max="3072" width="30.44140625" style="353" customWidth="1"/>
    <col min="3073" max="3313" width="11.44140625" style="353"/>
    <col min="3314" max="3314" width="25.44140625" style="353" customWidth="1"/>
    <col min="3315" max="3318" width="0" style="353" hidden="1" customWidth="1"/>
    <col min="3319" max="3320" width="11.44140625" style="353"/>
    <col min="3321" max="3321" width="0" style="353" hidden="1" customWidth="1"/>
    <col min="3322" max="3322" width="17.5546875" style="353" customWidth="1"/>
    <col min="3323" max="3323" width="11.44140625" style="353"/>
    <col min="3324" max="3324" width="26" style="353" bestFit="1" customWidth="1"/>
    <col min="3325" max="3327" width="11.44140625" style="353"/>
    <col min="3328" max="3328" width="30.44140625" style="353" customWidth="1"/>
    <col min="3329" max="3569" width="11.44140625" style="353"/>
    <col min="3570" max="3570" width="25.44140625" style="353" customWidth="1"/>
    <col min="3571" max="3574" width="0" style="353" hidden="1" customWidth="1"/>
    <col min="3575" max="3576" width="11.44140625" style="353"/>
    <col min="3577" max="3577" width="0" style="353" hidden="1" customWidth="1"/>
    <col min="3578" max="3578" width="17.5546875" style="353" customWidth="1"/>
    <col min="3579" max="3579" width="11.44140625" style="353"/>
    <col min="3580" max="3580" width="26" style="353" bestFit="1" customWidth="1"/>
    <col min="3581" max="3583" width="11.44140625" style="353"/>
    <col min="3584" max="3584" width="30.44140625" style="353" customWidth="1"/>
    <col min="3585" max="3825" width="11.44140625" style="353"/>
    <col min="3826" max="3826" width="25.44140625" style="353" customWidth="1"/>
    <col min="3827" max="3830" width="0" style="353" hidden="1" customWidth="1"/>
    <col min="3831" max="3832" width="11.44140625" style="353"/>
    <col min="3833" max="3833" width="0" style="353" hidden="1" customWidth="1"/>
    <col min="3834" max="3834" width="17.5546875" style="353" customWidth="1"/>
    <col min="3835" max="3835" width="11.44140625" style="353"/>
    <col min="3836" max="3836" width="26" style="353" bestFit="1" customWidth="1"/>
    <col min="3837" max="3839" width="11.44140625" style="353"/>
    <col min="3840" max="3840" width="30.44140625" style="353" customWidth="1"/>
    <col min="3841" max="4081" width="11.44140625" style="353"/>
    <col min="4082" max="4082" width="25.44140625" style="353" customWidth="1"/>
    <col min="4083" max="4086" width="0" style="353" hidden="1" customWidth="1"/>
    <col min="4087" max="4088" width="11.44140625" style="353"/>
    <col min="4089" max="4089" width="0" style="353" hidden="1" customWidth="1"/>
    <col min="4090" max="4090" width="17.5546875" style="353" customWidth="1"/>
    <col min="4091" max="4091" width="11.44140625" style="353"/>
    <col min="4092" max="4092" width="26" style="353" bestFit="1" customWidth="1"/>
    <col min="4093" max="4095" width="11.44140625" style="353"/>
    <col min="4096" max="4096" width="30.44140625" style="353" customWidth="1"/>
    <col min="4097" max="4337" width="11.44140625" style="353"/>
    <col min="4338" max="4338" width="25.44140625" style="353" customWidth="1"/>
    <col min="4339" max="4342" width="0" style="353" hidden="1" customWidth="1"/>
    <col min="4343" max="4344" width="11.44140625" style="353"/>
    <col min="4345" max="4345" width="0" style="353" hidden="1" customWidth="1"/>
    <col min="4346" max="4346" width="17.5546875" style="353" customWidth="1"/>
    <col min="4347" max="4347" width="11.44140625" style="353"/>
    <col min="4348" max="4348" width="26" style="353" bestFit="1" customWidth="1"/>
    <col min="4349" max="4351" width="11.44140625" style="353"/>
    <col min="4352" max="4352" width="30.44140625" style="353" customWidth="1"/>
    <col min="4353" max="4593" width="11.44140625" style="353"/>
    <col min="4594" max="4594" width="25.44140625" style="353" customWidth="1"/>
    <col min="4595" max="4598" width="0" style="353" hidden="1" customWidth="1"/>
    <col min="4599" max="4600" width="11.44140625" style="353"/>
    <col min="4601" max="4601" width="0" style="353" hidden="1" customWidth="1"/>
    <col min="4602" max="4602" width="17.5546875" style="353" customWidth="1"/>
    <col min="4603" max="4603" width="11.44140625" style="353"/>
    <col min="4604" max="4604" width="26" style="353" bestFit="1" customWidth="1"/>
    <col min="4605" max="4607" width="11.44140625" style="353"/>
    <col min="4608" max="4608" width="30.44140625" style="353" customWidth="1"/>
    <col min="4609" max="4849" width="11.44140625" style="353"/>
    <col min="4850" max="4850" width="25.44140625" style="353" customWidth="1"/>
    <col min="4851" max="4854" width="0" style="353" hidden="1" customWidth="1"/>
    <col min="4855" max="4856" width="11.44140625" style="353"/>
    <col min="4857" max="4857" width="0" style="353" hidden="1" customWidth="1"/>
    <col min="4858" max="4858" width="17.5546875" style="353" customWidth="1"/>
    <col min="4859" max="4859" width="11.44140625" style="353"/>
    <col min="4860" max="4860" width="26" style="353" bestFit="1" customWidth="1"/>
    <col min="4861" max="4863" width="11.44140625" style="353"/>
    <col min="4864" max="4864" width="30.44140625" style="353" customWidth="1"/>
    <col min="4865" max="5105" width="11.44140625" style="353"/>
    <col min="5106" max="5106" width="25.44140625" style="353" customWidth="1"/>
    <col min="5107" max="5110" width="0" style="353" hidden="1" customWidth="1"/>
    <col min="5111" max="5112" width="11.44140625" style="353"/>
    <col min="5113" max="5113" width="0" style="353" hidden="1" customWidth="1"/>
    <col min="5114" max="5114" width="17.5546875" style="353" customWidth="1"/>
    <col min="5115" max="5115" width="11.44140625" style="353"/>
    <col min="5116" max="5116" width="26" style="353" bestFit="1" customWidth="1"/>
    <col min="5117" max="5119" width="11.44140625" style="353"/>
    <col min="5120" max="5120" width="30.44140625" style="353" customWidth="1"/>
    <col min="5121" max="5361" width="11.44140625" style="353"/>
    <col min="5362" max="5362" width="25.44140625" style="353" customWidth="1"/>
    <col min="5363" max="5366" width="0" style="353" hidden="1" customWidth="1"/>
    <col min="5367" max="5368" width="11.44140625" style="353"/>
    <col min="5369" max="5369" width="0" style="353" hidden="1" customWidth="1"/>
    <col min="5370" max="5370" width="17.5546875" style="353" customWidth="1"/>
    <col min="5371" max="5371" width="11.44140625" style="353"/>
    <col min="5372" max="5372" width="26" style="353" bestFit="1" customWidth="1"/>
    <col min="5373" max="5375" width="11.44140625" style="353"/>
    <col min="5376" max="5376" width="30.44140625" style="353" customWidth="1"/>
    <col min="5377" max="5617" width="11.44140625" style="353"/>
    <col min="5618" max="5618" width="25.44140625" style="353" customWidth="1"/>
    <col min="5619" max="5622" width="0" style="353" hidden="1" customWidth="1"/>
    <col min="5623" max="5624" width="11.44140625" style="353"/>
    <col min="5625" max="5625" width="0" style="353" hidden="1" customWidth="1"/>
    <col min="5626" max="5626" width="17.5546875" style="353" customWidth="1"/>
    <col min="5627" max="5627" width="11.44140625" style="353"/>
    <col min="5628" max="5628" width="26" style="353" bestFit="1" customWidth="1"/>
    <col min="5629" max="5631" width="11.44140625" style="353"/>
    <col min="5632" max="5632" width="30.44140625" style="353" customWidth="1"/>
    <col min="5633" max="5873" width="11.44140625" style="353"/>
    <col min="5874" max="5874" width="25.44140625" style="353" customWidth="1"/>
    <col min="5875" max="5878" width="0" style="353" hidden="1" customWidth="1"/>
    <col min="5879" max="5880" width="11.44140625" style="353"/>
    <col min="5881" max="5881" width="0" style="353" hidden="1" customWidth="1"/>
    <col min="5882" max="5882" width="17.5546875" style="353" customWidth="1"/>
    <col min="5883" max="5883" width="11.44140625" style="353"/>
    <col min="5884" max="5884" width="26" style="353" bestFit="1" customWidth="1"/>
    <col min="5885" max="5887" width="11.44140625" style="353"/>
    <col min="5888" max="5888" width="30.44140625" style="353" customWidth="1"/>
    <col min="5889" max="6129" width="11.44140625" style="353"/>
    <col min="6130" max="6130" width="25.44140625" style="353" customWidth="1"/>
    <col min="6131" max="6134" width="0" style="353" hidden="1" customWidth="1"/>
    <col min="6135" max="6136" width="11.44140625" style="353"/>
    <col min="6137" max="6137" width="0" style="353" hidden="1" customWidth="1"/>
    <col min="6138" max="6138" width="17.5546875" style="353" customWidth="1"/>
    <col min="6139" max="6139" width="11.44140625" style="353"/>
    <col min="6140" max="6140" width="26" style="353" bestFit="1" customWidth="1"/>
    <col min="6141" max="6143" width="11.44140625" style="353"/>
    <col min="6144" max="6144" width="30.44140625" style="353" customWidth="1"/>
    <col min="6145" max="6385" width="11.44140625" style="353"/>
    <col min="6386" max="6386" width="25.44140625" style="353" customWidth="1"/>
    <col min="6387" max="6390" width="0" style="353" hidden="1" customWidth="1"/>
    <col min="6391" max="6392" width="11.44140625" style="353"/>
    <col min="6393" max="6393" width="0" style="353" hidden="1" customWidth="1"/>
    <col min="6394" max="6394" width="17.5546875" style="353" customWidth="1"/>
    <col min="6395" max="6395" width="11.44140625" style="353"/>
    <col min="6396" max="6396" width="26" style="353" bestFit="1" customWidth="1"/>
    <col min="6397" max="6399" width="11.44140625" style="353"/>
    <col min="6400" max="6400" width="30.44140625" style="353" customWidth="1"/>
    <col min="6401" max="6641" width="11.44140625" style="353"/>
    <col min="6642" max="6642" width="25.44140625" style="353" customWidth="1"/>
    <col min="6643" max="6646" width="0" style="353" hidden="1" customWidth="1"/>
    <col min="6647" max="6648" width="11.44140625" style="353"/>
    <col min="6649" max="6649" width="0" style="353" hidden="1" customWidth="1"/>
    <col min="6650" max="6650" width="17.5546875" style="353" customWidth="1"/>
    <col min="6651" max="6651" width="11.44140625" style="353"/>
    <col min="6652" max="6652" width="26" style="353" bestFit="1" customWidth="1"/>
    <col min="6653" max="6655" width="11.44140625" style="353"/>
    <col min="6656" max="6656" width="30.44140625" style="353" customWidth="1"/>
    <col min="6657" max="6897" width="11.44140625" style="353"/>
    <col min="6898" max="6898" width="25.44140625" style="353" customWidth="1"/>
    <col min="6899" max="6902" width="0" style="353" hidden="1" customWidth="1"/>
    <col min="6903" max="6904" width="11.44140625" style="353"/>
    <col min="6905" max="6905" width="0" style="353" hidden="1" customWidth="1"/>
    <col min="6906" max="6906" width="17.5546875" style="353" customWidth="1"/>
    <col min="6907" max="6907" width="11.44140625" style="353"/>
    <col min="6908" max="6908" width="26" style="353" bestFit="1" customWidth="1"/>
    <col min="6909" max="6911" width="11.44140625" style="353"/>
    <col min="6912" max="6912" width="30.44140625" style="353" customWidth="1"/>
    <col min="6913" max="7153" width="11.44140625" style="353"/>
    <col min="7154" max="7154" width="25.44140625" style="353" customWidth="1"/>
    <col min="7155" max="7158" width="0" style="353" hidden="1" customWidth="1"/>
    <col min="7159" max="7160" width="11.44140625" style="353"/>
    <col min="7161" max="7161" width="0" style="353" hidden="1" customWidth="1"/>
    <col min="7162" max="7162" width="17.5546875" style="353" customWidth="1"/>
    <col min="7163" max="7163" width="11.44140625" style="353"/>
    <col min="7164" max="7164" width="26" style="353" bestFit="1" customWidth="1"/>
    <col min="7165" max="7167" width="11.44140625" style="353"/>
    <col min="7168" max="7168" width="30.44140625" style="353" customWidth="1"/>
    <col min="7169" max="7409" width="11.44140625" style="353"/>
    <col min="7410" max="7410" width="25.44140625" style="353" customWidth="1"/>
    <col min="7411" max="7414" width="0" style="353" hidden="1" customWidth="1"/>
    <col min="7415" max="7416" width="11.44140625" style="353"/>
    <col min="7417" max="7417" width="0" style="353" hidden="1" customWidth="1"/>
    <col min="7418" max="7418" width="17.5546875" style="353" customWidth="1"/>
    <col min="7419" max="7419" width="11.44140625" style="353"/>
    <col min="7420" max="7420" width="26" style="353" bestFit="1" customWidth="1"/>
    <col min="7421" max="7423" width="11.44140625" style="353"/>
    <col min="7424" max="7424" width="30.44140625" style="353" customWidth="1"/>
    <col min="7425" max="7665" width="11.44140625" style="353"/>
    <col min="7666" max="7666" width="25.44140625" style="353" customWidth="1"/>
    <col min="7667" max="7670" width="0" style="353" hidden="1" customWidth="1"/>
    <col min="7671" max="7672" width="11.44140625" style="353"/>
    <col min="7673" max="7673" width="0" style="353" hidden="1" customWidth="1"/>
    <col min="7674" max="7674" width="17.5546875" style="353" customWidth="1"/>
    <col min="7675" max="7675" width="11.44140625" style="353"/>
    <col min="7676" max="7676" width="26" style="353" bestFit="1" customWidth="1"/>
    <col min="7677" max="7679" width="11.44140625" style="353"/>
    <col min="7680" max="7680" width="30.44140625" style="353" customWidth="1"/>
    <col min="7681" max="7921" width="11.44140625" style="353"/>
    <col min="7922" max="7922" width="25.44140625" style="353" customWidth="1"/>
    <col min="7923" max="7926" width="0" style="353" hidden="1" customWidth="1"/>
    <col min="7927" max="7928" width="11.44140625" style="353"/>
    <col min="7929" max="7929" width="0" style="353" hidden="1" customWidth="1"/>
    <col min="7930" max="7930" width="17.5546875" style="353" customWidth="1"/>
    <col min="7931" max="7931" width="11.44140625" style="353"/>
    <col min="7932" max="7932" width="26" style="353" bestFit="1" customWidth="1"/>
    <col min="7933" max="7935" width="11.44140625" style="353"/>
    <col min="7936" max="7936" width="30.44140625" style="353" customWidth="1"/>
    <col min="7937" max="8177" width="11.44140625" style="353"/>
    <col min="8178" max="8178" width="25.44140625" style="353" customWidth="1"/>
    <col min="8179" max="8182" width="0" style="353" hidden="1" customWidth="1"/>
    <col min="8183" max="8184" width="11.44140625" style="353"/>
    <col min="8185" max="8185" width="0" style="353" hidden="1" customWidth="1"/>
    <col min="8186" max="8186" width="17.5546875" style="353" customWidth="1"/>
    <col min="8187" max="8187" width="11.44140625" style="353"/>
    <col min="8188" max="8188" width="26" style="353" bestFit="1" customWidth="1"/>
    <col min="8189" max="8191" width="11.44140625" style="353"/>
    <col min="8192" max="8192" width="30.44140625" style="353" customWidth="1"/>
    <col min="8193" max="8433" width="11.44140625" style="353"/>
    <col min="8434" max="8434" width="25.44140625" style="353" customWidth="1"/>
    <col min="8435" max="8438" width="0" style="353" hidden="1" customWidth="1"/>
    <col min="8439" max="8440" width="11.44140625" style="353"/>
    <col min="8441" max="8441" width="0" style="353" hidden="1" customWidth="1"/>
    <col min="8442" max="8442" width="17.5546875" style="353" customWidth="1"/>
    <col min="8443" max="8443" width="11.44140625" style="353"/>
    <col min="8444" max="8444" width="26" style="353" bestFit="1" customWidth="1"/>
    <col min="8445" max="8447" width="11.44140625" style="353"/>
    <col min="8448" max="8448" width="30.44140625" style="353" customWidth="1"/>
    <col min="8449" max="8689" width="11.44140625" style="353"/>
    <col min="8690" max="8690" width="25.44140625" style="353" customWidth="1"/>
    <col min="8691" max="8694" width="0" style="353" hidden="1" customWidth="1"/>
    <col min="8695" max="8696" width="11.44140625" style="353"/>
    <col min="8697" max="8697" width="0" style="353" hidden="1" customWidth="1"/>
    <col min="8698" max="8698" width="17.5546875" style="353" customWidth="1"/>
    <col min="8699" max="8699" width="11.44140625" style="353"/>
    <col min="8700" max="8700" width="26" style="353" bestFit="1" customWidth="1"/>
    <col min="8701" max="8703" width="11.44140625" style="353"/>
    <col min="8704" max="8704" width="30.44140625" style="353" customWidth="1"/>
    <col min="8705" max="8945" width="11.44140625" style="353"/>
    <col min="8946" max="8946" width="25.44140625" style="353" customWidth="1"/>
    <col min="8947" max="8950" width="0" style="353" hidden="1" customWidth="1"/>
    <col min="8951" max="8952" width="11.44140625" style="353"/>
    <col min="8953" max="8953" width="0" style="353" hidden="1" customWidth="1"/>
    <col min="8954" max="8954" width="17.5546875" style="353" customWidth="1"/>
    <col min="8955" max="8955" width="11.44140625" style="353"/>
    <col min="8956" max="8956" width="26" style="353" bestFit="1" customWidth="1"/>
    <col min="8957" max="8959" width="11.44140625" style="353"/>
    <col min="8960" max="8960" width="30.44140625" style="353" customWidth="1"/>
    <col min="8961" max="9201" width="11.44140625" style="353"/>
    <col min="9202" max="9202" width="25.44140625" style="353" customWidth="1"/>
    <col min="9203" max="9206" width="0" style="353" hidden="1" customWidth="1"/>
    <col min="9207" max="9208" width="11.44140625" style="353"/>
    <col min="9209" max="9209" width="0" style="353" hidden="1" customWidth="1"/>
    <col min="9210" max="9210" width="17.5546875" style="353" customWidth="1"/>
    <col min="9211" max="9211" width="11.44140625" style="353"/>
    <col min="9212" max="9212" width="26" style="353" bestFit="1" customWidth="1"/>
    <col min="9213" max="9215" width="11.44140625" style="353"/>
    <col min="9216" max="9216" width="30.44140625" style="353" customWidth="1"/>
    <col min="9217" max="9457" width="11.44140625" style="353"/>
    <col min="9458" max="9458" width="25.44140625" style="353" customWidth="1"/>
    <col min="9459" max="9462" width="0" style="353" hidden="1" customWidth="1"/>
    <col min="9463" max="9464" width="11.44140625" style="353"/>
    <col min="9465" max="9465" width="0" style="353" hidden="1" customWidth="1"/>
    <col min="9466" max="9466" width="17.5546875" style="353" customWidth="1"/>
    <col min="9467" max="9467" width="11.44140625" style="353"/>
    <col min="9468" max="9468" width="26" style="353" bestFit="1" customWidth="1"/>
    <col min="9469" max="9471" width="11.44140625" style="353"/>
    <col min="9472" max="9472" width="30.44140625" style="353" customWidth="1"/>
    <col min="9473" max="9713" width="11.44140625" style="353"/>
    <col min="9714" max="9714" width="25.44140625" style="353" customWidth="1"/>
    <col min="9715" max="9718" width="0" style="353" hidden="1" customWidth="1"/>
    <col min="9719" max="9720" width="11.44140625" style="353"/>
    <col min="9721" max="9721" width="0" style="353" hidden="1" customWidth="1"/>
    <col min="9722" max="9722" width="17.5546875" style="353" customWidth="1"/>
    <col min="9723" max="9723" width="11.44140625" style="353"/>
    <col min="9724" max="9724" width="26" style="353" bestFit="1" customWidth="1"/>
    <col min="9725" max="9727" width="11.44140625" style="353"/>
    <col min="9728" max="9728" width="30.44140625" style="353" customWidth="1"/>
    <col min="9729" max="9969" width="11.44140625" style="353"/>
    <col min="9970" max="9970" width="25.44140625" style="353" customWidth="1"/>
    <col min="9971" max="9974" width="0" style="353" hidden="1" customWidth="1"/>
    <col min="9975" max="9976" width="11.44140625" style="353"/>
    <col min="9977" max="9977" width="0" style="353" hidden="1" customWidth="1"/>
    <col min="9978" max="9978" width="17.5546875" style="353" customWidth="1"/>
    <col min="9979" max="9979" width="11.44140625" style="353"/>
    <col min="9980" max="9980" width="26" style="353" bestFit="1" customWidth="1"/>
    <col min="9981" max="9983" width="11.44140625" style="353"/>
    <col min="9984" max="9984" width="30.44140625" style="353" customWidth="1"/>
    <col min="9985" max="10225" width="11.44140625" style="353"/>
    <col min="10226" max="10226" width="25.44140625" style="353" customWidth="1"/>
    <col min="10227" max="10230" width="0" style="353" hidden="1" customWidth="1"/>
    <col min="10231" max="10232" width="11.44140625" style="353"/>
    <col min="10233" max="10233" width="0" style="353" hidden="1" customWidth="1"/>
    <col min="10234" max="10234" width="17.5546875" style="353" customWidth="1"/>
    <col min="10235" max="10235" width="11.44140625" style="353"/>
    <col min="10236" max="10236" width="26" style="353" bestFit="1" customWidth="1"/>
    <col min="10237" max="10239" width="11.44140625" style="353"/>
    <col min="10240" max="10240" width="30.44140625" style="353" customWidth="1"/>
    <col min="10241" max="10481" width="11.44140625" style="353"/>
    <col min="10482" max="10482" width="25.44140625" style="353" customWidth="1"/>
    <col min="10483" max="10486" width="0" style="353" hidden="1" customWidth="1"/>
    <col min="10487" max="10488" width="11.44140625" style="353"/>
    <col min="10489" max="10489" width="0" style="353" hidden="1" customWidth="1"/>
    <col min="10490" max="10490" width="17.5546875" style="353" customWidth="1"/>
    <col min="10491" max="10491" width="11.44140625" style="353"/>
    <col min="10492" max="10492" width="26" style="353" bestFit="1" customWidth="1"/>
    <col min="10493" max="10495" width="11.44140625" style="353"/>
    <col min="10496" max="10496" width="30.44140625" style="353" customWidth="1"/>
    <col min="10497" max="10737" width="11.44140625" style="353"/>
    <col min="10738" max="10738" width="25.44140625" style="353" customWidth="1"/>
    <col min="10739" max="10742" width="0" style="353" hidden="1" customWidth="1"/>
    <col min="10743" max="10744" width="11.44140625" style="353"/>
    <col min="10745" max="10745" width="0" style="353" hidden="1" customWidth="1"/>
    <col min="10746" max="10746" width="17.5546875" style="353" customWidth="1"/>
    <col min="10747" max="10747" width="11.44140625" style="353"/>
    <col min="10748" max="10748" width="26" style="353" bestFit="1" customWidth="1"/>
    <col min="10749" max="10751" width="11.44140625" style="353"/>
    <col min="10752" max="10752" width="30.44140625" style="353" customWidth="1"/>
    <col min="10753" max="10993" width="11.44140625" style="353"/>
    <col min="10994" max="10994" width="25.44140625" style="353" customWidth="1"/>
    <col min="10995" max="10998" width="0" style="353" hidden="1" customWidth="1"/>
    <col min="10999" max="11000" width="11.44140625" style="353"/>
    <col min="11001" max="11001" width="0" style="353" hidden="1" customWidth="1"/>
    <col min="11002" max="11002" width="17.5546875" style="353" customWidth="1"/>
    <col min="11003" max="11003" width="11.44140625" style="353"/>
    <col min="11004" max="11004" width="26" style="353" bestFit="1" customWidth="1"/>
    <col min="11005" max="11007" width="11.44140625" style="353"/>
    <col min="11008" max="11008" width="30.44140625" style="353" customWidth="1"/>
    <col min="11009" max="11249" width="11.44140625" style="353"/>
    <col min="11250" max="11250" width="25.44140625" style="353" customWidth="1"/>
    <col min="11251" max="11254" width="0" style="353" hidden="1" customWidth="1"/>
    <col min="11255" max="11256" width="11.44140625" style="353"/>
    <col min="11257" max="11257" width="0" style="353" hidden="1" customWidth="1"/>
    <col min="11258" max="11258" width="17.5546875" style="353" customWidth="1"/>
    <col min="11259" max="11259" width="11.44140625" style="353"/>
    <col min="11260" max="11260" width="26" style="353" bestFit="1" customWidth="1"/>
    <col min="11261" max="11263" width="11.44140625" style="353"/>
    <col min="11264" max="11264" width="30.44140625" style="353" customWidth="1"/>
    <col min="11265" max="11505" width="11.44140625" style="353"/>
    <col min="11506" max="11506" width="25.44140625" style="353" customWidth="1"/>
    <col min="11507" max="11510" width="0" style="353" hidden="1" customWidth="1"/>
    <col min="11511" max="11512" width="11.44140625" style="353"/>
    <col min="11513" max="11513" width="0" style="353" hidden="1" customWidth="1"/>
    <col min="11514" max="11514" width="17.5546875" style="353" customWidth="1"/>
    <col min="11515" max="11515" width="11.44140625" style="353"/>
    <col min="11516" max="11516" width="26" style="353" bestFit="1" customWidth="1"/>
    <col min="11517" max="11519" width="11.44140625" style="353"/>
    <col min="11520" max="11520" width="30.44140625" style="353" customWidth="1"/>
    <col min="11521" max="11761" width="11.44140625" style="353"/>
    <col min="11762" max="11762" width="25.44140625" style="353" customWidth="1"/>
    <col min="11763" max="11766" width="0" style="353" hidden="1" customWidth="1"/>
    <col min="11767" max="11768" width="11.44140625" style="353"/>
    <col min="11769" max="11769" width="0" style="353" hidden="1" customWidth="1"/>
    <col min="11770" max="11770" width="17.5546875" style="353" customWidth="1"/>
    <col min="11771" max="11771" width="11.44140625" style="353"/>
    <col min="11772" max="11772" width="26" style="353" bestFit="1" customWidth="1"/>
    <col min="11773" max="11775" width="11.44140625" style="353"/>
    <col min="11776" max="11776" width="30.44140625" style="353" customWidth="1"/>
    <col min="11777" max="12017" width="11.44140625" style="353"/>
    <col min="12018" max="12018" width="25.44140625" style="353" customWidth="1"/>
    <col min="12019" max="12022" width="0" style="353" hidden="1" customWidth="1"/>
    <col min="12023" max="12024" width="11.44140625" style="353"/>
    <col min="12025" max="12025" width="0" style="353" hidden="1" customWidth="1"/>
    <col min="12026" max="12026" width="17.5546875" style="353" customWidth="1"/>
    <col min="12027" max="12027" width="11.44140625" style="353"/>
    <col min="12028" max="12028" width="26" style="353" bestFit="1" customWidth="1"/>
    <col min="12029" max="12031" width="11.44140625" style="353"/>
    <col min="12032" max="12032" width="30.44140625" style="353" customWidth="1"/>
    <col min="12033" max="12273" width="11.44140625" style="353"/>
    <col min="12274" max="12274" width="25.44140625" style="353" customWidth="1"/>
    <col min="12275" max="12278" width="0" style="353" hidden="1" customWidth="1"/>
    <col min="12279" max="12280" width="11.44140625" style="353"/>
    <col min="12281" max="12281" width="0" style="353" hidden="1" customWidth="1"/>
    <col min="12282" max="12282" width="17.5546875" style="353" customWidth="1"/>
    <col min="12283" max="12283" width="11.44140625" style="353"/>
    <col min="12284" max="12284" width="26" style="353" bestFit="1" customWidth="1"/>
    <col min="12285" max="12287" width="11.44140625" style="353"/>
    <col min="12288" max="12288" width="30.44140625" style="353" customWidth="1"/>
    <col min="12289" max="12529" width="11.44140625" style="353"/>
    <col min="12530" max="12530" width="25.44140625" style="353" customWidth="1"/>
    <col min="12531" max="12534" width="0" style="353" hidden="1" customWidth="1"/>
    <col min="12535" max="12536" width="11.44140625" style="353"/>
    <col min="12537" max="12537" width="0" style="353" hidden="1" customWidth="1"/>
    <col min="12538" max="12538" width="17.5546875" style="353" customWidth="1"/>
    <col min="12539" max="12539" width="11.44140625" style="353"/>
    <col min="12540" max="12540" width="26" style="353" bestFit="1" customWidth="1"/>
    <col min="12541" max="12543" width="11.44140625" style="353"/>
    <col min="12544" max="12544" width="30.44140625" style="353" customWidth="1"/>
    <col min="12545" max="12785" width="11.44140625" style="353"/>
    <col min="12786" max="12786" width="25.44140625" style="353" customWidth="1"/>
    <col min="12787" max="12790" width="0" style="353" hidden="1" customWidth="1"/>
    <col min="12791" max="12792" width="11.44140625" style="353"/>
    <col min="12793" max="12793" width="0" style="353" hidden="1" customWidth="1"/>
    <col min="12794" max="12794" width="17.5546875" style="353" customWidth="1"/>
    <col min="12795" max="12795" width="11.44140625" style="353"/>
    <col min="12796" max="12796" width="26" style="353" bestFit="1" customWidth="1"/>
    <col min="12797" max="12799" width="11.44140625" style="353"/>
    <col min="12800" max="12800" width="30.44140625" style="353" customWidth="1"/>
    <col min="12801" max="13041" width="11.44140625" style="353"/>
    <col min="13042" max="13042" width="25.44140625" style="353" customWidth="1"/>
    <col min="13043" max="13046" width="0" style="353" hidden="1" customWidth="1"/>
    <col min="13047" max="13048" width="11.44140625" style="353"/>
    <col min="13049" max="13049" width="0" style="353" hidden="1" customWidth="1"/>
    <col min="13050" max="13050" width="17.5546875" style="353" customWidth="1"/>
    <col min="13051" max="13051" width="11.44140625" style="353"/>
    <col min="13052" max="13052" width="26" style="353" bestFit="1" customWidth="1"/>
    <col min="13053" max="13055" width="11.44140625" style="353"/>
    <col min="13056" max="13056" width="30.44140625" style="353" customWidth="1"/>
    <col min="13057" max="13297" width="11.44140625" style="353"/>
    <col min="13298" max="13298" width="25.44140625" style="353" customWidth="1"/>
    <col min="13299" max="13302" width="0" style="353" hidden="1" customWidth="1"/>
    <col min="13303" max="13304" width="11.44140625" style="353"/>
    <col min="13305" max="13305" width="0" style="353" hidden="1" customWidth="1"/>
    <col min="13306" max="13306" width="17.5546875" style="353" customWidth="1"/>
    <col min="13307" max="13307" width="11.44140625" style="353"/>
    <col min="13308" max="13308" width="26" style="353" bestFit="1" customWidth="1"/>
    <col min="13309" max="13311" width="11.44140625" style="353"/>
    <col min="13312" max="13312" width="30.44140625" style="353" customWidth="1"/>
    <col min="13313" max="13553" width="11.44140625" style="353"/>
    <col min="13554" max="13554" width="25.44140625" style="353" customWidth="1"/>
    <col min="13555" max="13558" width="0" style="353" hidden="1" customWidth="1"/>
    <col min="13559" max="13560" width="11.44140625" style="353"/>
    <col min="13561" max="13561" width="0" style="353" hidden="1" customWidth="1"/>
    <col min="13562" max="13562" width="17.5546875" style="353" customWidth="1"/>
    <col min="13563" max="13563" width="11.44140625" style="353"/>
    <col min="13564" max="13564" width="26" style="353" bestFit="1" customWidth="1"/>
    <col min="13565" max="13567" width="11.44140625" style="353"/>
    <col min="13568" max="13568" width="30.44140625" style="353" customWidth="1"/>
    <col min="13569" max="13809" width="11.44140625" style="353"/>
    <col min="13810" max="13810" width="25.44140625" style="353" customWidth="1"/>
    <col min="13811" max="13814" width="0" style="353" hidden="1" customWidth="1"/>
    <col min="13815" max="13816" width="11.44140625" style="353"/>
    <col min="13817" max="13817" width="0" style="353" hidden="1" customWidth="1"/>
    <col min="13818" max="13818" width="17.5546875" style="353" customWidth="1"/>
    <col min="13819" max="13819" width="11.44140625" style="353"/>
    <col min="13820" max="13820" width="26" style="353" bestFit="1" customWidth="1"/>
    <col min="13821" max="13823" width="11.44140625" style="353"/>
    <col min="13824" max="13824" width="30.44140625" style="353" customWidth="1"/>
    <col min="13825" max="14065" width="11.44140625" style="353"/>
    <col min="14066" max="14066" width="25.44140625" style="353" customWidth="1"/>
    <col min="14067" max="14070" width="0" style="353" hidden="1" customWidth="1"/>
    <col min="14071" max="14072" width="11.44140625" style="353"/>
    <col min="14073" max="14073" width="0" style="353" hidden="1" customWidth="1"/>
    <col min="14074" max="14074" width="17.5546875" style="353" customWidth="1"/>
    <col min="14075" max="14075" width="11.44140625" style="353"/>
    <col min="14076" max="14076" width="26" style="353" bestFit="1" customWidth="1"/>
    <col min="14077" max="14079" width="11.44140625" style="353"/>
    <col min="14080" max="14080" width="30.44140625" style="353" customWidth="1"/>
    <col min="14081" max="14321" width="11.44140625" style="353"/>
    <col min="14322" max="14322" width="25.44140625" style="353" customWidth="1"/>
    <col min="14323" max="14326" width="0" style="353" hidden="1" customWidth="1"/>
    <col min="14327" max="14328" width="11.44140625" style="353"/>
    <col min="14329" max="14329" width="0" style="353" hidden="1" customWidth="1"/>
    <col min="14330" max="14330" width="17.5546875" style="353" customWidth="1"/>
    <col min="14331" max="14331" width="11.44140625" style="353"/>
    <col min="14332" max="14332" width="26" style="353" bestFit="1" customWidth="1"/>
    <col min="14333" max="14335" width="11.44140625" style="353"/>
    <col min="14336" max="14336" width="30.44140625" style="353" customWidth="1"/>
    <col min="14337" max="14577" width="11.44140625" style="353"/>
    <col min="14578" max="14578" width="25.44140625" style="353" customWidth="1"/>
    <col min="14579" max="14582" width="0" style="353" hidden="1" customWidth="1"/>
    <col min="14583" max="14584" width="11.44140625" style="353"/>
    <col min="14585" max="14585" width="0" style="353" hidden="1" customWidth="1"/>
    <col min="14586" max="14586" width="17.5546875" style="353" customWidth="1"/>
    <col min="14587" max="14587" width="11.44140625" style="353"/>
    <col min="14588" max="14588" width="26" style="353" bestFit="1" customWidth="1"/>
    <col min="14589" max="14591" width="11.44140625" style="353"/>
    <col min="14592" max="14592" width="30.44140625" style="353" customWidth="1"/>
    <col min="14593" max="14833" width="11.44140625" style="353"/>
    <col min="14834" max="14834" width="25.44140625" style="353" customWidth="1"/>
    <col min="14835" max="14838" width="0" style="353" hidden="1" customWidth="1"/>
    <col min="14839" max="14840" width="11.44140625" style="353"/>
    <col min="14841" max="14841" width="0" style="353" hidden="1" customWidth="1"/>
    <col min="14842" max="14842" width="17.5546875" style="353" customWidth="1"/>
    <col min="14843" max="14843" width="11.44140625" style="353"/>
    <col min="14844" max="14844" width="26" style="353" bestFit="1" customWidth="1"/>
    <col min="14845" max="14847" width="11.44140625" style="353"/>
    <col min="14848" max="14848" width="30.44140625" style="353" customWidth="1"/>
    <col min="14849" max="15089" width="11.44140625" style="353"/>
    <col min="15090" max="15090" width="25.44140625" style="353" customWidth="1"/>
    <col min="15091" max="15094" width="0" style="353" hidden="1" customWidth="1"/>
    <col min="15095" max="15096" width="11.44140625" style="353"/>
    <col min="15097" max="15097" width="0" style="353" hidden="1" customWidth="1"/>
    <col min="15098" max="15098" width="17.5546875" style="353" customWidth="1"/>
    <col min="15099" max="15099" width="11.44140625" style="353"/>
    <col min="15100" max="15100" width="26" style="353" bestFit="1" customWidth="1"/>
    <col min="15101" max="15103" width="11.44140625" style="353"/>
    <col min="15104" max="15104" width="30.44140625" style="353" customWidth="1"/>
    <col min="15105" max="15345" width="11.44140625" style="353"/>
    <col min="15346" max="15346" width="25.44140625" style="353" customWidth="1"/>
    <col min="15347" max="15350" width="0" style="353" hidden="1" customWidth="1"/>
    <col min="15351" max="15352" width="11.44140625" style="353"/>
    <col min="15353" max="15353" width="0" style="353" hidden="1" customWidth="1"/>
    <col min="15354" max="15354" width="17.5546875" style="353" customWidth="1"/>
    <col min="15355" max="15355" width="11.44140625" style="353"/>
    <col min="15356" max="15356" width="26" style="353" bestFit="1" customWidth="1"/>
    <col min="15357" max="15359" width="11.44140625" style="353"/>
    <col min="15360" max="15360" width="30.44140625" style="353" customWidth="1"/>
    <col min="15361" max="15601" width="11.44140625" style="353"/>
    <col min="15602" max="15602" width="25.44140625" style="353" customWidth="1"/>
    <col min="15603" max="15606" width="0" style="353" hidden="1" customWidth="1"/>
    <col min="15607" max="15608" width="11.44140625" style="353"/>
    <col min="15609" max="15609" width="0" style="353" hidden="1" customWidth="1"/>
    <col min="15610" max="15610" width="17.5546875" style="353" customWidth="1"/>
    <col min="15611" max="15611" width="11.44140625" style="353"/>
    <col min="15612" max="15612" width="26" style="353" bestFit="1" customWidth="1"/>
    <col min="15613" max="15615" width="11.44140625" style="353"/>
    <col min="15616" max="15616" width="30.44140625" style="353" customWidth="1"/>
    <col min="15617" max="15857" width="11.44140625" style="353"/>
    <col min="15858" max="15858" width="25.44140625" style="353" customWidth="1"/>
    <col min="15859" max="15862" width="0" style="353" hidden="1" customWidth="1"/>
    <col min="15863" max="15864" width="11.44140625" style="353"/>
    <col min="15865" max="15865" width="0" style="353" hidden="1" customWidth="1"/>
    <col min="15866" max="15866" width="17.5546875" style="353" customWidth="1"/>
    <col min="15867" max="15867" width="11.44140625" style="353"/>
    <col min="15868" max="15868" width="26" style="353" bestFit="1" customWidth="1"/>
    <col min="15869" max="15871" width="11.44140625" style="353"/>
    <col min="15872" max="15872" width="30.44140625" style="353" customWidth="1"/>
    <col min="15873" max="16113" width="11.44140625" style="353"/>
    <col min="16114" max="16114" width="25.44140625" style="353" customWidth="1"/>
    <col min="16115" max="16118" width="0" style="353" hidden="1" customWidth="1"/>
    <col min="16119" max="16120" width="11.44140625" style="353"/>
    <col min="16121" max="16121" width="0" style="353" hidden="1" customWidth="1"/>
    <col min="16122" max="16122" width="17.5546875" style="353" customWidth="1"/>
    <col min="16123" max="16123" width="11.44140625" style="353"/>
    <col min="16124" max="16124" width="26" style="353" bestFit="1" customWidth="1"/>
    <col min="16125" max="16127" width="11.44140625" style="353"/>
    <col min="16128" max="16128" width="30.44140625" style="353" customWidth="1"/>
    <col min="16129" max="16382" width="11.44140625" style="353"/>
    <col min="16383" max="16384" width="11.44140625" style="353" customWidth="1"/>
  </cols>
  <sheetData>
    <row r="1" spans="1:2" ht="16.2" thickBot="1" x14ac:dyDescent="0.4">
      <c r="A1" s="354"/>
      <c r="B1" s="467">
        <v>2025</v>
      </c>
    </row>
    <row r="2" spans="1:2" x14ac:dyDescent="0.35">
      <c r="A2" s="468" t="s">
        <v>81</v>
      </c>
      <c r="B2" s="469">
        <f>BEaH25!G13</f>
        <v>5893</v>
      </c>
    </row>
    <row r="3" spans="1:2" x14ac:dyDescent="0.35">
      <c r="A3" s="379" t="s">
        <v>82</v>
      </c>
      <c r="B3" s="470">
        <f>BEaH25!G28</f>
        <v>7867</v>
      </c>
    </row>
    <row r="4" spans="1:2" x14ac:dyDescent="0.35">
      <c r="A4" s="471" t="s">
        <v>151</v>
      </c>
      <c r="B4" s="470">
        <f>BEaH25!G33</f>
        <v>22421</v>
      </c>
    </row>
    <row r="5" spans="1:2" x14ac:dyDescent="0.35">
      <c r="A5" s="471" t="s">
        <v>138</v>
      </c>
      <c r="B5" s="470">
        <f>BEaH25!G39</f>
        <v>29800</v>
      </c>
    </row>
    <row r="6" spans="1:2" x14ac:dyDescent="0.35">
      <c r="A6" s="379" t="s">
        <v>83</v>
      </c>
      <c r="B6" s="470">
        <f>BEaH25!G50-B4-B5</f>
        <v>559559</v>
      </c>
    </row>
    <row r="7" spans="1:2" ht="16.2" thickBot="1" x14ac:dyDescent="0.4">
      <c r="A7" s="472" t="s">
        <v>84</v>
      </c>
      <c r="B7" s="473">
        <f>BEaH25!G56</f>
        <v>346924</v>
      </c>
    </row>
    <row r="8" spans="1:2" ht="16.2" thickBot="1" x14ac:dyDescent="0.4">
      <c r="A8" s="354"/>
      <c r="B8" s="474">
        <f>SUM(B2:B7)</f>
        <v>972464</v>
      </c>
    </row>
    <row r="27" spans="1:1" ht="30.6" x14ac:dyDescent="0.35">
      <c r="A27" s="478" t="s">
        <v>179</v>
      </c>
    </row>
  </sheetData>
  <pageMargins left="0.78740157499999996" right="0.78740157499999996" top="0.984251969" bottom="0.984251969" header="0.4921259845" footer="0.4921259845"/>
  <pageSetup paperSize="9" scale="61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9515-FB09-41D8-B1A7-03279C88C40B}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DEAF-C2CA-4117-8D68-B5E0DE4CB2DA}">
  <dimension ref="A1:AE4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1" sqref="B41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115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197</v>
      </c>
      <c r="C6" s="97">
        <v>87</v>
      </c>
      <c r="D6" s="97">
        <v>296</v>
      </c>
      <c r="E6" s="137">
        <v>108</v>
      </c>
      <c r="F6" s="97">
        <v>217</v>
      </c>
      <c r="G6" s="98">
        <f>SUM(B6:F6)</f>
        <v>905</v>
      </c>
      <c r="H6" s="97">
        <v>2</v>
      </c>
      <c r="I6" s="97">
        <v>0</v>
      </c>
      <c r="J6" s="97">
        <v>0</v>
      </c>
      <c r="K6" s="97">
        <v>0</v>
      </c>
      <c r="L6" s="97">
        <v>0</v>
      </c>
      <c r="M6" s="101">
        <f t="shared" ref="M6:M11" si="0">SUM(H6:L6)</f>
        <v>2</v>
      </c>
      <c r="N6" s="99">
        <f>M6*100/$G6</f>
        <v>0.22099447513812154</v>
      </c>
      <c r="O6" s="97">
        <v>0</v>
      </c>
      <c r="P6" s="97">
        <v>0</v>
      </c>
      <c r="Q6" s="97">
        <v>1</v>
      </c>
      <c r="R6" s="97">
        <v>1</v>
      </c>
      <c r="S6" s="97">
        <v>1</v>
      </c>
      <c r="T6" s="101">
        <f t="shared" ref="T6:T11" si="1">SUM(O6:S6)</f>
        <v>3</v>
      </c>
      <c r="U6" s="99">
        <f>T6*100/$G6</f>
        <v>0.33149171270718231</v>
      </c>
      <c r="V6" s="97">
        <v>6</v>
      </c>
      <c r="W6" s="97">
        <v>1</v>
      </c>
      <c r="X6" s="97">
        <v>8</v>
      </c>
      <c r="Y6" s="97"/>
      <c r="Z6" s="97"/>
      <c r="AA6" s="101">
        <f t="shared" ref="AA6:AA11" si="2">SUM(V6:Z6)</f>
        <v>15</v>
      </c>
      <c r="AB6" s="99">
        <f>AA6*100/$G6</f>
        <v>1.6574585635359116</v>
      </c>
      <c r="AC6" s="101">
        <v>0</v>
      </c>
      <c r="AD6" s="101">
        <v>1</v>
      </c>
      <c r="AE6" s="101">
        <v>197</v>
      </c>
    </row>
    <row r="7" spans="1:31" ht="14.4" thickBot="1" x14ac:dyDescent="0.3">
      <c r="A7" s="90" t="s">
        <v>2</v>
      </c>
      <c r="B7" s="97">
        <v>1418</v>
      </c>
      <c r="C7" s="97">
        <v>402</v>
      </c>
      <c r="D7" s="97">
        <v>1598</v>
      </c>
      <c r="E7" s="137">
        <v>1420</v>
      </c>
      <c r="F7" s="97">
        <v>825</v>
      </c>
      <c r="G7" s="98">
        <f>SUM(B7:F7)</f>
        <v>5663</v>
      </c>
      <c r="H7" s="97">
        <v>4</v>
      </c>
      <c r="I7" s="97">
        <v>0</v>
      </c>
      <c r="J7" s="97">
        <v>4</v>
      </c>
      <c r="K7" s="97">
        <v>2</v>
      </c>
      <c r="L7" s="97">
        <v>7</v>
      </c>
      <c r="M7" s="97">
        <f t="shared" si="0"/>
        <v>17</v>
      </c>
      <c r="N7" s="99">
        <f t="shared" ref="N7:N11" si="3">M7*100/$G7</f>
        <v>0.30019424333392197</v>
      </c>
      <c r="O7" s="97">
        <v>17</v>
      </c>
      <c r="P7" s="97">
        <v>5</v>
      </c>
      <c r="Q7" s="97">
        <v>14</v>
      </c>
      <c r="R7" s="97">
        <v>14</v>
      </c>
      <c r="S7" s="97">
        <v>4</v>
      </c>
      <c r="T7" s="97">
        <f t="shared" si="1"/>
        <v>54</v>
      </c>
      <c r="U7" s="99">
        <f t="shared" ref="U7:U11" si="4">T7*100/$G7</f>
        <v>0.95355818470775211</v>
      </c>
      <c r="V7" s="97">
        <v>7</v>
      </c>
      <c r="W7" s="97">
        <v>3</v>
      </c>
      <c r="X7" s="97">
        <v>29</v>
      </c>
      <c r="Y7" s="97">
        <v>15</v>
      </c>
      <c r="Z7" s="97">
        <v>1</v>
      </c>
      <c r="AA7" s="97">
        <f t="shared" si="2"/>
        <v>55</v>
      </c>
      <c r="AB7" s="99">
        <f t="shared" ref="AB7:AB11" si="5">AA7*100/$G7</f>
        <v>0.97121666960974751</v>
      </c>
      <c r="AC7" s="101">
        <v>0</v>
      </c>
      <c r="AD7" s="101">
        <v>1</v>
      </c>
      <c r="AE7" s="101">
        <v>258</v>
      </c>
    </row>
    <row r="8" spans="1:31" ht="14.4" thickBot="1" x14ac:dyDescent="0.3">
      <c r="A8" s="90" t="s">
        <v>14</v>
      </c>
      <c r="B8" s="97">
        <v>166</v>
      </c>
      <c r="C8" s="97">
        <v>102</v>
      </c>
      <c r="D8" s="97">
        <v>228</v>
      </c>
      <c r="E8" s="137">
        <v>168</v>
      </c>
      <c r="F8" s="97">
        <v>113</v>
      </c>
      <c r="G8" s="98">
        <f>SUM(B8:F8)</f>
        <v>777</v>
      </c>
      <c r="H8" s="97">
        <v>1</v>
      </c>
      <c r="I8" s="97">
        <v>0</v>
      </c>
      <c r="J8" s="97">
        <v>0</v>
      </c>
      <c r="K8" s="97">
        <v>0</v>
      </c>
      <c r="L8" s="97">
        <v>0</v>
      </c>
      <c r="M8" s="101">
        <f t="shared" si="0"/>
        <v>1</v>
      </c>
      <c r="N8" s="99">
        <f t="shared" si="3"/>
        <v>0.1287001287001287</v>
      </c>
      <c r="O8" s="97">
        <v>0</v>
      </c>
      <c r="P8" s="97">
        <v>0</v>
      </c>
      <c r="Q8" s="97">
        <v>0</v>
      </c>
      <c r="R8" s="97">
        <v>0</v>
      </c>
      <c r="S8" s="97">
        <v>0</v>
      </c>
      <c r="T8" s="101">
        <f t="shared" si="1"/>
        <v>0</v>
      </c>
      <c r="U8" s="99">
        <f t="shared" si="4"/>
        <v>0</v>
      </c>
      <c r="V8" s="97">
        <v>0</v>
      </c>
      <c r="W8" s="97">
        <v>0</v>
      </c>
      <c r="X8" s="97">
        <v>4</v>
      </c>
      <c r="Y8" s="97">
        <v>0</v>
      </c>
      <c r="Z8" s="97"/>
      <c r="AA8" s="101">
        <f t="shared" si="2"/>
        <v>4</v>
      </c>
      <c r="AB8" s="99">
        <f t="shared" si="5"/>
        <v>0.51480051480051481</v>
      </c>
      <c r="AC8" s="101">
        <v>0</v>
      </c>
      <c r="AD8" s="101">
        <v>0</v>
      </c>
      <c r="AE8" s="101">
        <v>42</v>
      </c>
    </row>
    <row r="9" spans="1:31" ht="14.4" thickBot="1" x14ac:dyDescent="0.3">
      <c r="A9" s="90" t="s">
        <v>3</v>
      </c>
      <c r="B9" s="97">
        <v>202</v>
      </c>
      <c r="C9" s="97">
        <v>97</v>
      </c>
      <c r="D9" s="97">
        <v>247</v>
      </c>
      <c r="E9" s="137">
        <v>255</v>
      </c>
      <c r="F9" s="97">
        <v>76</v>
      </c>
      <c r="G9" s="98">
        <f>SUM(B9:F9)</f>
        <v>877</v>
      </c>
      <c r="H9" s="97">
        <v>1</v>
      </c>
      <c r="I9" s="97">
        <v>0</v>
      </c>
      <c r="J9" s="97">
        <v>0</v>
      </c>
      <c r="K9" s="97">
        <v>0</v>
      </c>
      <c r="L9" s="97">
        <v>0</v>
      </c>
      <c r="M9" s="97">
        <f t="shared" si="0"/>
        <v>1</v>
      </c>
      <c r="N9" s="99">
        <f t="shared" si="3"/>
        <v>0.11402508551881414</v>
      </c>
      <c r="O9" s="97">
        <v>2</v>
      </c>
      <c r="P9" s="97">
        <v>0</v>
      </c>
      <c r="Q9" s="97">
        <v>3</v>
      </c>
      <c r="R9" s="97">
        <v>2</v>
      </c>
      <c r="S9" s="97">
        <v>0</v>
      </c>
      <c r="T9" s="97">
        <f t="shared" si="1"/>
        <v>7</v>
      </c>
      <c r="U9" s="99">
        <f t="shared" si="4"/>
        <v>0.79817559863169896</v>
      </c>
      <c r="V9" s="97">
        <v>0</v>
      </c>
      <c r="W9" s="97">
        <v>0</v>
      </c>
      <c r="X9" s="97">
        <v>4</v>
      </c>
      <c r="Y9" s="97">
        <v>4</v>
      </c>
      <c r="Z9" s="97"/>
      <c r="AA9" s="97">
        <f t="shared" si="2"/>
        <v>8</v>
      </c>
      <c r="AB9" s="99">
        <f t="shared" si="5"/>
        <v>0.91220068415051314</v>
      </c>
      <c r="AC9" s="101">
        <v>0</v>
      </c>
      <c r="AD9" s="101">
        <v>0</v>
      </c>
      <c r="AE9" s="101">
        <v>27</v>
      </c>
    </row>
    <row r="10" spans="1:31" ht="23.4" thickBot="1" x14ac:dyDescent="0.3">
      <c r="A10" s="139" t="s">
        <v>23</v>
      </c>
      <c r="B10" s="97">
        <v>1088</v>
      </c>
      <c r="C10" s="97">
        <v>215</v>
      </c>
      <c r="D10" s="97">
        <v>1281</v>
      </c>
      <c r="E10" s="137">
        <v>670</v>
      </c>
      <c r="F10" s="97">
        <v>547</v>
      </c>
      <c r="G10" s="98">
        <f>SUM(B10:F10)</f>
        <v>3801</v>
      </c>
      <c r="H10" s="97">
        <v>8</v>
      </c>
      <c r="I10" s="97">
        <v>1</v>
      </c>
      <c r="J10" s="97">
        <v>1</v>
      </c>
      <c r="K10" s="97">
        <v>3</v>
      </c>
      <c r="L10" s="97">
        <v>0</v>
      </c>
      <c r="M10" s="97">
        <f t="shared" si="0"/>
        <v>13</v>
      </c>
      <c r="N10" s="99">
        <f t="shared" si="3"/>
        <v>0.34201525914233094</v>
      </c>
      <c r="O10" s="97">
        <v>18</v>
      </c>
      <c r="P10" s="97">
        <v>1</v>
      </c>
      <c r="Q10" s="97">
        <v>5</v>
      </c>
      <c r="R10" s="97">
        <v>5</v>
      </c>
      <c r="S10" s="97">
        <v>2</v>
      </c>
      <c r="T10" s="97">
        <f t="shared" si="1"/>
        <v>31</v>
      </c>
      <c r="U10" s="99">
        <f t="shared" si="4"/>
        <v>0.81557484872401997</v>
      </c>
      <c r="V10" s="97">
        <v>22</v>
      </c>
      <c r="W10" s="97">
        <v>1</v>
      </c>
      <c r="X10" s="97">
        <v>14</v>
      </c>
      <c r="Y10" s="97">
        <v>6</v>
      </c>
      <c r="Z10" s="97"/>
      <c r="AA10" s="97">
        <f t="shared" si="2"/>
        <v>43</v>
      </c>
      <c r="AB10" s="99">
        <f t="shared" si="5"/>
        <v>1.1312812417784794</v>
      </c>
      <c r="AC10" s="101">
        <v>0</v>
      </c>
      <c r="AD10" s="101">
        <v>1</v>
      </c>
      <c r="AE10" s="101">
        <v>311</v>
      </c>
    </row>
    <row r="11" spans="1:31" s="132" customFormat="1" ht="14.4" thickBot="1" x14ac:dyDescent="0.3">
      <c r="A11" s="124" t="s">
        <v>21</v>
      </c>
      <c r="B11" s="105">
        <f t="shared" ref="B11:L11" si="6">SUM(B6:B10)</f>
        <v>3071</v>
      </c>
      <c r="C11" s="105">
        <f t="shared" si="6"/>
        <v>903</v>
      </c>
      <c r="D11" s="105">
        <f t="shared" si="6"/>
        <v>3650</v>
      </c>
      <c r="E11" s="105">
        <f t="shared" si="6"/>
        <v>2621</v>
      </c>
      <c r="F11" s="105">
        <f t="shared" si="6"/>
        <v>1778</v>
      </c>
      <c r="G11" s="102">
        <f t="shared" si="6"/>
        <v>12023</v>
      </c>
      <c r="H11" s="111">
        <f t="shared" si="6"/>
        <v>16</v>
      </c>
      <c r="I11" s="111">
        <f t="shared" si="6"/>
        <v>1</v>
      </c>
      <c r="J11" s="111">
        <f t="shared" si="6"/>
        <v>5</v>
      </c>
      <c r="K11" s="111">
        <f t="shared" si="6"/>
        <v>5</v>
      </c>
      <c r="L11" s="111">
        <f t="shared" si="6"/>
        <v>7</v>
      </c>
      <c r="M11" s="103">
        <f t="shared" si="0"/>
        <v>34</v>
      </c>
      <c r="N11" s="104">
        <f t="shared" si="3"/>
        <v>0.2827913166431007</v>
      </c>
      <c r="O11" s="111">
        <f t="shared" ref="O11:S11" si="7">SUM(O6:O10)</f>
        <v>37</v>
      </c>
      <c r="P11" s="111">
        <f t="shared" si="7"/>
        <v>6</v>
      </c>
      <c r="Q11" s="111">
        <f t="shared" si="7"/>
        <v>23</v>
      </c>
      <c r="R11" s="111">
        <f t="shared" si="7"/>
        <v>22</v>
      </c>
      <c r="S11" s="111">
        <f t="shared" si="7"/>
        <v>7</v>
      </c>
      <c r="T11" s="103">
        <f t="shared" si="1"/>
        <v>95</v>
      </c>
      <c r="U11" s="104">
        <f t="shared" si="4"/>
        <v>0.79015220826748733</v>
      </c>
      <c r="V11" s="111">
        <f t="shared" ref="V11:Z11" si="8">SUM(V6:V10)</f>
        <v>35</v>
      </c>
      <c r="W11" s="111">
        <f t="shared" si="8"/>
        <v>5</v>
      </c>
      <c r="X11" s="111">
        <f t="shared" si="8"/>
        <v>59</v>
      </c>
      <c r="Y11" s="111">
        <f t="shared" si="8"/>
        <v>25</v>
      </c>
      <c r="Z11" s="111">
        <f t="shared" si="8"/>
        <v>1</v>
      </c>
      <c r="AA11" s="103">
        <f t="shared" si="2"/>
        <v>125</v>
      </c>
      <c r="AB11" s="104">
        <f t="shared" si="5"/>
        <v>1.0396739582466938</v>
      </c>
      <c r="AC11" s="107">
        <f>SUM(AC6:AC10)</f>
        <v>0</v>
      </c>
      <c r="AD11" s="107">
        <f>SUM(AD6:AD10)</f>
        <v>3</v>
      </c>
      <c r="AE11" s="107">
        <f>SUM(AE6:AE10)</f>
        <v>835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41</v>
      </c>
      <c r="C14" s="97">
        <v>11</v>
      </c>
      <c r="D14" s="97">
        <v>76</v>
      </c>
      <c r="E14" s="97">
        <v>20</v>
      </c>
      <c r="F14" s="97">
        <v>21</v>
      </c>
      <c r="G14" s="98">
        <f t="shared" ref="G14:G25" si="9">SUM(B14:F14)</f>
        <v>169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101">
        <f>SUM(H14:L14)</f>
        <v>0</v>
      </c>
      <c r="N14" s="99">
        <f>M14*100/$G14</f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101">
        <f>SUM(O14:S14)</f>
        <v>0</v>
      </c>
      <c r="U14" s="99">
        <f>T14*100/$G14</f>
        <v>0</v>
      </c>
      <c r="V14" s="97">
        <v>0</v>
      </c>
      <c r="W14" s="97">
        <v>0</v>
      </c>
      <c r="X14" s="97">
        <v>0</v>
      </c>
      <c r="Y14" s="97">
        <v>0</v>
      </c>
      <c r="Z14" s="97">
        <v>1</v>
      </c>
      <c r="AA14" s="101">
        <f>SUM(V14:Z14)</f>
        <v>1</v>
      </c>
      <c r="AB14" s="99">
        <f>AA14*100/$G14</f>
        <v>0.59171597633136097</v>
      </c>
      <c r="AC14" s="101">
        <v>0</v>
      </c>
      <c r="AD14" s="101">
        <v>0</v>
      </c>
      <c r="AE14" s="101">
        <v>5</v>
      </c>
    </row>
    <row r="15" spans="1:31" ht="14.4" thickBot="1" x14ac:dyDescent="0.3">
      <c r="A15" s="89" t="s">
        <v>5</v>
      </c>
      <c r="B15" s="97">
        <v>107</v>
      </c>
      <c r="C15" s="97">
        <v>30</v>
      </c>
      <c r="D15" s="97">
        <v>174</v>
      </c>
      <c r="E15" s="97">
        <v>164</v>
      </c>
      <c r="F15" s="97">
        <v>72</v>
      </c>
      <c r="G15" s="98">
        <f t="shared" si="9"/>
        <v>547</v>
      </c>
      <c r="H15" s="97">
        <v>0</v>
      </c>
      <c r="I15" s="97">
        <v>0</v>
      </c>
      <c r="J15" s="97">
        <v>0</v>
      </c>
      <c r="K15" s="97">
        <v>1</v>
      </c>
      <c r="L15" s="97">
        <v>0</v>
      </c>
      <c r="M15" s="97">
        <f t="shared" ref="M15:M25" si="10">SUM(H15:L15)</f>
        <v>1</v>
      </c>
      <c r="N15" s="99">
        <f t="shared" ref="N15:N25" si="11">M15*100/$G15</f>
        <v>0.18281535648994515</v>
      </c>
      <c r="O15" s="97">
        <v>0</v>
      </c>
      <c r="P15" s="97">
        <v>0</v>
      </c>
      <c r="Q15" s="97">
        <v>2</v>
      </c>
      <c r="R15" s="97">
        <v>3</v>
      </c>
      <c r="S15" s="97">
        <v>0</v>
      </c>
      <c r="T15" s="97">
        <f t="shared" ref="T15:T25" si="12">SUM(O15:S15)</f>
        <v>5</v>
      </c>
      <c r="U15" s="99">
        <f t="shared" ref="U15:U25" si="13">T15*100/$G15</f>
        <v>0.91407678244972579</v>
      </c>
      <c r="V15" s="97">
        <v>1</v>
      </c>
      <c r="W15" s="97">
        <v>0</v>
      </c>
      <c r="X15" s="97">
        <v>0</v>
      </c>
      <c r="Y15" s="97">
        <v>2</v>
      </c>
      <c r="Z15" s="97">
        <v>1</v>
      </c>
      <c r="AA15" s="97">
        <f t="shared" ref="AA15:AA25" si="14">SUM(V15:Z15)</f>
        <v>4</v>
      </c>
      <c r="AB15" s="99">
        <f t="shared" ref="AB15:AB25" si="15">AA15*100/$G15</f>
        <v>0.73126142595978061</v>
      </c>
      <c r="AC15" s="101">
        <v>0</v>
      </c>
      <c r="AD15" s="101">
        <v>0</v>
      </c>
      <c r="AE15" s="101">
        <v>19</v>
      </c>
    </row>
    <row r="16" spans="1:31" ht="14.4" thickBot="1" x14ac:dyDescent="0.3">
      <c r="A16" s="89" t="s">
        <v>6</v>
      </c>
      <c r="B16" s="109">
        <v>48</v>
      </c>
      <c r="C16" s="97">
        <v>29</v>
      </c>
      <c r="D16" s="97">
        <v>62</v>
      </c>
      <c r="E16" s="97">
        <v>52</v>
      </c>
      <c r="F16" s="97">
        <v>38</v>
      </c>
      <c r="G16" s="98">
        <f t="shared" si="9"/>
        <v>229</v>
      </c>
      <c r="H16" s="97">
        <v>1</v>
      </c>
      <c r="I16" s="97">
        <v>0</v>
      </c>
      <c r="J16" s="97">
        <v>0</v>
      </c>
      <c r="K16" s="97">
        <v>0</v>
      </c>
      <c r="L16" s="97">
        <v>0</v>
      </c>
      <c r="M16" s="101">
        <f t="shared" si="10"/>
        <v>1</v>
      </c>
      <c r="N16" s="99">
        <f t="shared" si="11"/>
        <v>0.4366812227074236</v>
      </c>
      <c r="O16" s="97">
        <v>2</v>
      </c>
      <c r="P16" s="97">
        <v>1</v>
      </c>
      <c r="Q16" s="97">
        <v>2</v>
      </c>
      <c r="R16" s="97">
        <v>0</v>
      </c>
      <c r="S16" s="97">
        <v>0</v>
      </c>
      <c r="T16" s="101">
        <f t="shared" si="12"/>
        <v>5</v>
      </c>
      <c r="U16" s="99">
        <f t="shared" si="13"/>
        <v>2.1834061135371181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101">
        <f t="shared" si="14"/>
        <v>0</v>
      </c>
      <c r="AB16" s="99">
        <f t="shared" si="15"/>
        <v>0</v>
      </c>
      <c r="AC16" s="101">
        <v>0</v>
      </c>
      <c r="AD16" s="101">
        <v>0</v>
      </c>
      <c r="AE16" s="101">
        <v>8</v>
      </c>
    </row>
    <row r="17" spans="1:31" ht="14.4" thickBot="1" x14ac:dyDescent="0.3">
      <c r="A17" s="89" t="s">
        <v>7</v>
      </c>
      <c r="B17" s="97">
        <v>21</v>
      </c>
      <c r="C17" s="97">
        <v>20</v>
      </c>
      <c r="D17" s="97">
        <v>47</v>
      </c>
      <c r="E17" s="97">
        <v>30</v>
      </c>
      <c r="F17" s="97">
        <v>20</v>
      </c>
      <c r="G17" s="98">
        <f t="shared" si="9"/>
        <v>138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 t="shared" si="10"/>
        <v>0</v>
      </c>
      <c r="N17" s="99">
        <f t="shared" si="11"/>
        <v>0</v>
      </c>
      <c r="O17" s="97">
        <v>0</v>
      </c>
      <c r="P17" s="97">
        <v>1</v>
      </c>
      <c r="Q17" s="97">
        <v>0</v>
      </c>
      <c r="R17" s="97">
        <v>0</v>
      </c>
      <c r="S17" s="97">
        <v>0</v>
      </c>
      <c r="T17" s="97">
        <f t="shared" si="12"/>
        <v>1</v>
      </c>
      <c r="U17" s="99">
        <f t="shared" si="13"/>
        <v>0.72463768115942029</v>
      </c>
      <c r="V17" s="97">
        <v>0</v>
      </c>
      <c r="W17" s="97">
        <v>0</v>
      </c>
      <c r="X17" s="97">
        <v>0</v>
      </c>
      <c r="Y17" s="97">
        <v>1</v>
      </c>
      <c r="Z17" s="97">
        <v>0</v>
      </c>
      <c r="AA17" s="97">
        <f t="shared" si="14"/>
        <v>1</v>
      </c>
      <c r="AB17" s="99">
        <f t="shared" si="15"/>
        <v>0.72463768115942029</v>
      </c>
      <c r="AC17" s="101">
        <v>0</v>
      </c>
      <c r="AD17" s="101">
        <v>0</v>
      </c>
      <c r="AE17" s="101">
        <v>1</v>
      </c>
    </row>
    <row r="18" spans="1:31" ht="14.4" thickBot="1" x14ac:dyDescent="0.3">
      <c r="A18" s="89" t="s">
        <v>8</v>
      </c>
      <c r="B18" s="97">
        <v>11</v>
      </c>
      <c r="C18" s="97">
        <v>37</v>
      </c>
      <c r="D18" s="97">
        <v>9</v>
      </c>
      <c r="E18" s="97">
        <v>11</v>
      </c>
      <c r="F18" s="97">
        <v>3</v>
      </c>
      <c r="G18" s="98">
        <f t="shared" si="9"/>
        <v>71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 t="shared" si="10"/>
        <v>0</v>
      </c>
      <c r="N18" s="99">
        <f t="shared" si="11"/>
        <v>0</v>
      </c>
      <c r="O18" s="97">
        <v>0</v>
      </c>
      <c r="P18" s="97">
        <v>0</v>
      </c>
      <c r="Q18" s="97">
        <v>0</v>
      </c>
      <c r="R18" s="97">
        <v>1</v>
      </c>
      <c r="S18" s="97">
        <v>0</v>
      </c>
      <c r="T18" s="97">
        <f t="shared" si="12"/>
        <v>1</v>
      </c>
      <c r="U18" s="99">
        <f t="shared" si="13"/>
        <v>1.408450704225352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f t="shared" si="14"/>
        <v>0</v>
      </c>
      <c r="AB18" s="99">
        <f t="shared" si="15"/>
        <v>0</v>
      </c>
      <c r="AC18" s="101">
        <v>0</v>
      </c>
      <c r="AD18" s="101">
        <v>0</v>
      </c>
      <c r="AE18" s="101">
        <v>1</v>
      </c>
    </row>
    <row r="19" spans="1:31" ht="14.4" thickBot="1" x14ac:dyDescent="0.3">
      <c r="A19" s="89" t="s">
        <v>9</v>
      </c>
      <c r="B19" s="97">
        <v>83</v>
      </c>
      <c r="C19" s="97">
        <v>9</v>
      </c>
      <c r="D19" s="97">
        <v>36</v>
      </c>
      <c r="E19" s="97">
        <v>37</v>
      </c>
      <c r="F19" s="97">
        <v>21</v>
      </c>
      <c r="G19" s="98">
        <f t="shared" si="9"/>
        <v>186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f t="shared" si="10"/>
        <v>0</v>
      </c>
      <c r="N19" s="99">
        <f t="shared" si="11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12"/>
        <v>0</v>
      </c>
      <c r="U19" s="99">
        <f t="shared" si="13"/>
        <v>0</v>
      </c>
      <c r="V19" s="97">
        <v>0</v>
      </c>
      <c r="W19" s="97">
        <v>0</v>
      </c>
      <c r="X19" s="97">
        <v>0</v>
      </c>
      <c r="Y19" s="97">
        <v>1</v>
      </c>
      <c r="Z19" s="97">
        <v>1</v>
      </c>
      <c r="AA19" s="101">
        <f t="shared" si="14"/>
        <v>2</v>
      </c>
      <c r="AB19" s="99">
        <f t="shared" si="15"/>
        <v>1.075268817204301</v>
      </c>
      <c r="AC19" s="101">
        <v>0</v>
      </c>
      <c r="AD19" s="101">
        <v>0</v>
      </c>
      <c r="AE19" s="101">
        <v>3</v>
      </c>
    </row>
    <row r="20" spans="1:31" ht="14.4" thickBot="1" x14ac:dyDescent="0.3">
      <c r="A20" s="89" t="s">
        <v>10</v>
      </c>
      <c r="B20" s="97">
        <v>12</v>
      </c>
      <c r="C20" s="97">
        <v>8</v>
      </c>
      <c r="D20" s="97">
        <v>14</v>
      </c>
      <c r="E20" s="97">
        <v>25</v>
      </c>
      <c r="F20" s="97">
        <v>3</v>
      </c>
      <c r="G20" s="98">
        <f t="shared" si="9"/>
        <v>62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10"/>
        <v>0</v>
      </c>
      <c r="N20" s="99">
        <f t="shared" si="11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12"/>
        <v>0</v>
      </c>
      <c r="U20" s="99">
        <f t="shared" si="13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f t="shared" si="14"/>
        <v>0</v>
      </c>
      <c r="AB20" s="99">
        <f t="shared" si="15"/>
        <v>0</v>
      </c>
      <c r="AC20" s="101">
        <v>0</v>
      </c>
      <c r="AD20" s="101">
        <v>0</v>
      </c>
      <c r="AE20" s="101">
        <v>0</v>
      </c>
    </row>
    <row r="21" spans="1:31" ht="14.4" thickBot="1" x14ac:dyDescent="0.3">
      <c r="A21" s="89" t="s">
        <v>11</v>
      </c>
      <c r="B21" s="97">
        <v>44</v>
      </c>
      <c r="C21" s="97">
        <v>10</v>
      </c>
      <c r="D21" s="97">
        <v>67</v>
      </c>
      <c r="E21" s="97">
        <v>88</v>
      </c>
      <c r="F21" s="97">
        <v>24</v>
      </c>
      <c r="G21" s="98">
        <f t="shared" si="9"/>
        <v>233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f t="shared" si="10"/>
        <v>0</v>
      </c>
      <c r="N21" s="99">
        <f t="shared" si="11"/>
        <v>0</v>
      </c>
      <c r="O21" s="97">
        <v>0</v>
      </c>
      <c r="P21" s="97">
        <v>0</v>
      </c>
      <c r="Q21" s="97">
        <v>2</v>
      </c>
      <c r="R21" s="97">
        <v>1</v>
      </c>
      <c r="S21" s="97">
        <v>0</v>
      </c>
      <c r="T21" s="97">
        <f t="shared" si="12"/>
        <v>3</v>
      </c>
      <c r="U21" s="99">
        <f t="shared" si="13"/>
        <v>1.2875536480686696</v>
      </c>
      <c r="V21" s="97">
        <v>0</v>
      </c>
      <c r="W21" s="97">
        <v>0</v>
      </c>
      <c r="X21" s="97">
        <v>4</v>
      </c>
      <c r="Y21" s="97">
        <v>0</v>
      </c>
      <c r="Z21" s="97">
        <v>0</v>
      </c>
      <c r="AA21" s="97">
        <f t="shared" si="14"/>
        <v>4</v>
      </c>
      <c r="AB21" s="99">
        <f t="shared" si="15"/>
        <v>1.7167381974248928</v>
      </c>
      <c r="AC21" s="101">
        <v>0</v>
      </c>
      <c r="AD21" s="101">
        <v>0</v>
      </c>
      <c r="AE21" s="101">
        <v>14</v>
      </c>
    </row>
    <row r="22" spans="1:31" ht="14.4" thickBot="1" x14ac:dyDescent="0.3">
      <c r="A22" s="89" t="s">
        <v>12</v>
      </c>
      <c r="B22" s="97">
        <v>1768</v>
      </c>
      <c r="C22" s="97">
        <v>941</v>
      </c>
      <c r="D22" s="97">
        <v>3052</v>
      </c>
      <c r="E22" s="97">
        <v>2492</v>
      </c>
      <c r="F22" s="97">
        <v>1410</v>
      </c>
      <c r="G22" s="98">
        <f t="shared" si="9"/>
        <v>9663</v>
      </c>
      <c r="H22" s="97">
        <v>5</v>
      </c>
      <c r="I22" s="97">
        <v>4</v>
      </c>
      <c r="J22" s="97">
        <v>7</v>
      </c>
      <c r="K22" s="97">
        <v>7</v>
      </c>
      <c r="L22" s="97">
        <v>0</v>
      </c>
      <c r="M22" s="97">
        <f t="shared" si="10"/>
        <v>23</v>
      </c>
      <c r="N22" s="99">
        <f t="shared" si="11"/>
        <v>0.23802131843112906</v>
      </c>
      <c r="O22" s="97">
        <v>10</v>
      </c>
      <c r="P22" s="97">
        <v>2</v>
      </c>
      <c r="Q22" s="97">
        <v>17</v>
      </c>
      <c r="R22" s="97">
        <v>10</v>
      </c>
      <c r="S22" s="97">
        <v>2</v>
      </c>
      <c r="T22" s="97">
        <f t="shared" si="12"/>
        <v>41</v>
      </c>
      <c r="U22" s="99">
        <f t="shared" si="13"/>
        <v>0.4242988719859257</v>
      </c>
      <c r="V22" s="97">
        <v>16</v>
      </c>
      <c r="W22" s="97">
        <v>3</v>
      </c>
      <c r="X22" s="97">
        <v>74</v>
      </c>
      <c r="Y22" s="97">
        <v>12</v>
      </c>
      <c r="Z22" s="97">
        <v>4</v>
      </c>
      <c r="AA22" s="97">
        <f t="shared" si="14"/>
        <v>109</v>
      </c>
      <c r="AB22" s="99">
        <f t="shared" si="15"/>
        <v>1.1280140743040463</v>
      </c>
      <c r="AC22" s="101">
        <v>0</v>
      </c>
      <c r="AD22" s="101">
        <v>3</v>
      </c>
      <c r="AE22" s="101">
        <v>377</v>
      </c>
    </row>
    <row r="23" spans="1:31" ht="14.4" thickBot="1" x14ac:dyDescent="0.3">
      <c r="A23" s="89" t="s">
        <v>13</v>
      </c>
      <c r="B23" s="97">
        <v>28</v>
      </c>
      <c r="C23" s="97">
        <v>8</v>
      </c>
      <c r="D23" s="97">
        <v>5</v>
      </c>
      <c r="E23" s="97">
        <v>8</v>
      </c>
      <c r="F23" s="97">
        <v>0</v>
      </c>
      <c r="G23" s="98">
        <f t="shared" si="9"/>
        <v>49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 t="shared" si="10"/>
        <v>0</v>
      </c>
      <c r="N23" s="99">
        <f t="shared" si="11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f t="shared" si="12"/>
        <v>1</v>
      </c>
      <c r="U23" s="99">
        <f t="shared" si="13"/>
        <v>2.0408163265306123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f t="shared" si="14"/>
        <v>0</v>
      </c>
      <c r="AB23" s="99">
        <f t="shared" si="15"/>
        <v>0</v>
      </c>
      <c r="AC23" s="101">
        <v>0</v>
      </c>
      <c r="AD23" s="101">
        <v>0</v>
      </c>
      <c r="AE23" s="101"/>
    </row>
    <row r="24" spans="1:31" ht="23.4" thickBot="1" x14ac:dyDescent="0.3">
      <c r="A24" s="139" t="s">
        <v>23</v>
      </c>
      <c r="B24" s="110">
        <v>226</v>
      </c>
      <c r="C24" s="110">
        <v>0</v>
      </c>
      <c r="D24" s="97">
        <v>0</v>
      </c>
      <c r="E24" s="110">
        <v>261</v>
      </c>
      <c r="F24" s="97">
        <v>215</v>
      </c>
      <c r="G24" s="98">
        <f t="shared" si="9"/>
        <v>702</v>
      </c>
      <c r="H24" s="110">
        <v>0</v>
      </c>
      <c r="I24" s="97">
        <v>0</v>
      </c>
      <c r="J24" s="97">
        <v>0</v>
      </c>
      <c r="K24" s="97">
        <v>0</v>
      </c>
      <c r="L24" s="97">
        <v>0</v>
      </c>
      <c r="M24" s="97">
        <f t="shared" si="10"/>
        <v>0</v>
      </c>
      <c r="N24" s="99">
        <f t="shared" si="11"/>
        <v>0</v>
      </c>
      <c r="O24" s="110">
        <v>1</v>
      </c>
      <c r="P24" s="97">
        <v>0</v>
      </c>
      <c r="Q24" s="97">
        <v>0</v>
      </c>
      <c r="R24" s="97">
        <v>2</v>
      </c>
      <c r="S24" s="97">
        <v>0</v>
      </c>
      <c r="T24" s="97">
        <f t="shared" si="12"/>
        <v>3</v>
      </c>
      <c r="U24" s="99">
        <f t="shared" si="13"/>
        <v>0.42735042735042733</v>
      </c>
      <c r="V24" s="110">
        <v>5</v>
      </c>
      <c r="W24" s="97">
        <v>0</v>
      </c>
      <c r="X24" s="97">
        <v>0</v>
      </c>
      <c r="Y24" s="97">
        <v>5</v>
      </c>
      <c r="Z24" s="97">
        <v>5</v>
      </c>
      <c r="AA24" s="97">
        <f t="shared" si="14"/>
        <v>15</v>
      </c>
      <c r="AB24" s="99">
        <f t="shared" si="15"/>
        <v>2.1367521367521367</v>
      </c>
      <c r="AC24" s="101">
        <v>0</v>
      </c>
      <c r="AD24" s="101">
        <v>0</v>
      </c>
      <c r="AE24" s="101">
        <v>16</v>
      </c>
    </row>
    <row r="25" spans="1:31" s="132" customFormat="1" ht="14.4" thickBot="1" x14ac:dyDescent="0.3">
      <c r="A25" s="128" t="s">
        <v>22</v>
      </c>
      <c r="B25" s="111">
        <f>SUM(B14:B24)</f>
        <v>2389</v>
      </c>
      <c r="C25" s="111">
        <f>SUM(C14:C24)</f>
        <v>1103</v>
      </c>
      <c r="D25" s="111">
        <f>SUM(D14:D24)</f>
        <v>3542</v>
      </c>
      <c r="E25" s="111">
        <f>SUM(E14:E24)</f>
        <v>3188</v>
      </c>
      <c r="F25" s="111">
        <f>SUM(F14:F24)</f>
        <v>1827</v>
      </c>
      <c r="G25" s="102">
        <f t="shared" si="9"/>
        <v>12049</v>
      </c>
      <c r="H25" s="111">
        <f>SUM(H14:H24)</f>
        <v>6</v>
      </c>
      <c r="I25" s="111">
        <f>SUM(I14:I24)</f>
        <v>4</v>
      </c>
      <c r="J25" s="111">
        <f>SUM(J14:J24)</f>
        <v>7</v>
      </c>
      <c r="K25" s="111">
        <f>SUM(K14:K24)</f>
        <v>8</v>
      </c>
      <c r="L25" s="111">
        <f>SUM(L14:L24)</f>
        <v>0</v>
      </c>
      <c r="M25" s="103">
        <f t="shared" si="10"/>
        <v>25</v>
      </c>
      <c r="N25" s="104">
        <f t="shared" si="11"/>
        <v>0.20748609843140509</v>
      </c>
      <c r="O25" s="111">
        <f>SUM(O14:O24)</f>
        <v>14</v>
      </c>
      <c r="P25" s="111">
        <f>SUM(P14:P24)</f>
        <v>4</v>
      </c>
      <c r="Q25" s="111">
        <f>SUM(Q14:Q24)</f>
        <v>23</v>
      </c>
      <c r="R25" s="111">
        <f>SUM(R14:R24)</f>
        <v>17</v>
      </c>
      <c r="S25" s="111">
        <f>SUM(S14:S24)</f>
        <v>2</v>
      </c>
      <c r="T25" s="103">
        <f t="shared" si="12"/>
        <v>60</v>
      </c>
      <c r="U25" s="104">
        <f t="shared" si="13"/>
        <v>0.49796663623537224</v>
      </c>
      <c r="V25" s="111">
        <f>SUM(V14:V24)</f>
        <v>22</v>
      </c>
      <c r="W25" s="111">
        <f>SUM(W14:W24)</f>
        <v>3</v>
      </c>
      <c r="X25" s="111">
        <f>SUM(X14:X24)</f>
        <v>78</v>
      </c>
      <c r="Y25" s="111">
        <f>SUM(Y14:Y24)</f>
        <v>21</v>
      </c>
      <c r="Z25" s="111">
        <f>SUM(Z14:Z24)</f>
        <v>12</v>
      </c>
      <c r="AA25" s="103">
        <f t="shared" si="14"/>
        <v>136</v>
      </c>
      <c r="AB25" s="104">
        <f t="shared" si="15"/>
        <v>1.1287243754668437</v>
      </c>
      <c r="AC25" s="107">
        <f>SUM(AC14:AC24)</f>
        <v>0</v>
      </c>
      <c r="AD25" s="107">
        <f t="shared" ref="AD25:AE25" si="16">SUM(AD14:AD24)</f>
        <v>3</v>
      </c>
      <c r="AE25" s="107">
        <f t="shared" si="16"/>
        <v>444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2851</v>
      </c>
      <c r="C28" s="97">
        <v>1712</v>
      </c>
      <c r="D28" s="97">
        <v>2722</v>
      </c>
      <c r="E28" s="97">
        <v>2973</v>
      </c>
      <c r="F28" s="97">
        <v>3782</v>
      </c>
      <c r="G28" s="98">
        <f t="shared" ref="G28:G36" si="17">SUM(B28:F28)</f>
        <v>14040</v>
      </c>
      <c r="H28" s="97">
        <v>5</v>
      </c>
      <c r="I28" s="97">
        <v>3</v>
      </c>
      <c r="J28" s="97">
        <v>2</v>
      </c>
      <c r="K28" s="97">
        <v>0</v>
      </c>
      <c r="L28" s="97">
        <v>1</v>
      </c>
      <c r="M28" s="97">
        <f>SUM(H28:L28)</f>
        <v>11</v>
      </c>
      <c r="N28" s="99">
        <f>M28*100/$G28</f>
        <v>7.8347578347578342E-2</v>
      </c>
      <c r="O28" s="97">
        <v>6</v>
      </c>
      <c r="P28" s="97">
        <v>1</v>
      </c>
      <c r="Q28" s="97">
        <v>2</v>
      </c>
      <c r="R28" s="97">
        <v>3</v>
      </c>
      <c r="S28" s="97">
        <v>0</v>
      </c>
      <c r="T28" s="97">
        <f>SUM(O28:S28)</f>
        <v>12</v>
      </c>
      <c r="U28" s="99">
        <f>T28*100/$G28</f>
        <v>8.5470085470085472E-2</v>
      </c>
      <c r="V28" s="97">
        <v>3</v>
      </c>
      <c r="W28" s="97">
        <v>2</v>
      </c>
      <c r="X28" s="97">
        <v>11</v>
      </c>
      <c r="Y28" s="97">
        <v>3</v>
      </c>
      <c r="Z28" s="97">
        <v>2</v>
      </c>
      <c r="AA28" s="97">
        <f>SUM(V28:Z28)</f>
        <v>21</v>
      </c>
      <c r="AB28" s="99">
        <f>AA28*100/$G28</f>
        <v>0.14957264957264957</v>
      </c>
      <c r="AC28" s="101">
        <f>3+1</f>
        <v>4</v>
      </c>
      <c r="AD28" s="101">
        <f>1</f>
        <v>1</v>
      </c>
      <c r="AE28" s="101">
        <f>40+8</f>
        <v>48</v>
      </c>
    </row>
    <row r="29" spans="1:31" ht="14.4" thickBot="1" x14ac:dyDescent="0.3">
      <c r="A29" s="89" t="s">
        <v>16</v>
      </c>
      <c r="B29" s="97">
        <v>1080</v>
      </c>
      <c r="C29" s="97">
        <v>706</v>
      </c>
      <c r="D29" s="97">
        <v>1785</v>
      </c>
      <c r="E29" s="97">
        <v>1644</v>
      </c>
      <c r="F29" s="97">
        <v>959</v>
      </c>
      <c r="G29" s="98">
        <f t="shared" si="17"/>
        <v>6174</v>
      </c>
      <c r="H29" s="97">
        <v>3</v>
      </c>
      <c r="I29" s="97">
        <v>0</v>
      </c>
      <c r="J29" s="97">
        <v>13</v>
      </c>
      <c r="K29" s="97">
        <v>4</v>
      </c>
      <c r="L29" s="97">
        <v>4</v>
      </c>
      <c r="M29" s="97">
        <f>SUM(H29:L29)</f>
        <v>24</v>
      </c>
      <c r="N29" s="99">
        <f t="shared" ref="N29:N38" si="18">M29*100/$G29</f>
        <v>0.38872691933916426</v>
      </c>
      <c r="O29" s="97">
        <v>5</v>
      </c>
      <c r="P29" s="97">
        <v>2</v>
      </c>
      <c r="Q29" s="97">
        <v>13</v>
      </c>
      <c r="R29" s="97">
        <v>6</v>
      </c>
      <c r="S29" s="97">
        <v>1</v>
      </c>
      <c r="T29" s="97">
        <f>SUM(O29:S29)</f>
        <v>27</v>
      </c>
      <c r="U29" s="99">
        <f t="shared" ref="U29:U38" si="19">T29*100/$G29</f>
        <v>0.43731778425655976</v>
      </c>
      <c r="V29" s="97">
        <v>2</v>
      </c>
      <c r="W29" s="97">
        <v>0</v>
      </c>
      <c r="X29" s="97">
        <v>8</v>
      </c>
      <c r="Y29" s="97">
        <v>8</v>
      </c>
      <c r="Z29" s="97">
        <v>1</v>
      </c>
      <c r="AA29" s="97">
        <f>SUM(V29:Z29)</f>
        <v>19</v>
      </c>
      <c r="AB29" s="99">
        <f t="shared" ref="AB29:AB38" si="20">AA29*100/$G29</f>
        <v>0.30774214447683834</v>
      </c>
      <c r="AC29" s="101">
        <f>2+1+3+2</f>
        <v>8</v>
      </c>
      <c r="AD29" s="101">
        <v>0</v>
      </c>
      <c r="AE29" s="101">
        <f>11+18</f>
        <v>29</v>
      </c>
    </row>
    <row r="30" spans="1:31" ht="14.4" thickBot="1" x14ac:dyDescent="0.3">
      <c r="A30" s="89" t="s">
        <v>34</v>
      </c>
      <c r="B30" s="97">
        <v>867</v>
      </c>
      <c r="C30" s="97">
        <v>562</v>
      </c>
      <c r="D30" s="97">
        <v>810</v>
      </c>
      <c r="E30" s="97">
        <v>902</v>
      </c>
      <c r="F30" s="97">
        <v>1182</v>
      </c>
      <c r="G30" s="98">
        <f t="shared" si="17"/>
        <v>4323</v>
      </c>
      <c r="H30" s="97">
        <v>1</v>
      </c>
      <c r="I30" s="97">
        <v>0</v>
      </c>
      <c r="J30" s="97">
        <v>1</v>
      </c>
      <c r="K30" s="97">
        <v>0</v>
      </c>
      <c r="L30" s="97">
        <v>3</v>
      </c>
      <c r="M30" s="97">
        <f t="shared" ref="M30:M38" si="21">SUM(H30:L30)</f>
        <v>5</v>
      </c>
      <c r="N30" s="99">
        <f t="shared" si="18"/>
        <v>0.11566042100393245</v>
      </c>
      <c r="O30" s="97">
        <v>7</v>
      </c>
      <c r="P30" s="97">
        <v>0</v>
      </c>
      <c r="Q30" s="97">
        <v>6</v>
      </c>
      <c r="R30" s="97">
        <v>4</v>
      </c>
      <c r="S30" s="97">
        <v>3</v>
      </c>
      <c r="T30" s="97">
        <f t="shared" ref="T30:T38" si="22">SUM(O30:S30)</f>
        <v>20</v>
      </c>
      <c r="U30" s="99">
        <f t="shared" si="19"/>
        <v>0.4626416840157298</v>
      </c>
      <c r="V30" s="97">
        <v>1</v>
      </c>
      <c r="W30" s="97">
        <v>0</v>
      </c>
      <c r="X30" s="97">
        <v>8</v>
      </c>
      <c r="Y30" s="97">
        <v>3</v>
      </c>
      <c r="Z30" s="97">
        <v>0</v>
      </c>
      <c r="AA30" s="97">
        <f t="shared" ref="AA30:AA38" si="23">SUM(V30:Z30)</f>
        <v>12</v>
      </c>
      <c r="AB30" s="99">
        <f t="shared" si="20"/>
        <v>0.27758501040943789</v>
      </c>
      <c r="AC30" s="101">
        <v>0</v>
      </c>
      <c r="AD30" s="101">
        <v>0</v>
      </c>
      <c r="AE30" s="101">
        <f>2</f>
        <v>2</v>
      </c>
    </row>
    <row r="31" spans="1:31" ht="14.4" thickBot="1" x14ac:dyDescent="0.3">
      <c r="A31" s="89" t="s">
        <v>17</v>
      </c>
      <c r="B31" s="97">
        <v>5002</v>
      </c>
      <c r="C31" s="97">
        <v>3640</v>
      </c>
      <c r="D31" s="97">
        <v>6676</v>
      </c>
      <c r="E31" s="97">
        <v>6530</v>
      </c>
      <c r="F31" s="97">
        <v>5373</v>
      </c>
      <c r="G31" s="98">
        <f t="shared" si="17"/>
        <v>27221</v>
      </c>
      <c r="H31" s="97">
        <v>4</v>
      </c>
      <c r="I31" s="97">
        <v>5</v>
      </c>
      <c r="J31" s="97">
        <v>6</v>
      </c>
      <c r="K31" s="97">
        <v>3</v>
      </c>
      <c r="L31" s="97">
        <v>3</v>
      </c>
      <c r="M31" s="97">
        <f t="shared" si="21"/>
        <v>21</v>
      </c>
      <c r="N31" s="99">
        <f t="shared" si="18"/>
        <v>7.7146320855222078E-2</v>
      </c>
      <c r="O31" s="97">
        <v>3</v>
      </c>
      <c r="P31" s="97">
        <v>10</v>
      </c>
      <c r="Q31" s="97">
        <v>19</v>
      </c>
      <c r="R31" s="97">
        <v>13</v>
      </c>
      <c r="S31" s="97">
        <v>8</v>
      </c>
      <c r="T31" s="97">
        <f t="shared" si="22"/>
        <v>53</v>
      </c>
      <c r="U31" s="99">
        <f t="shared" si="19"/>
        <v>0.19470261930127475</v>
      </c>
      <c r="V31" s="97">
        <v>7</v>
      </c>
      <c r="W31" s="97">
        <v>7</v>
      </c>
      <c r="X31" s="97">
        <v>37</v>
      </c>
      <c r="Y31" s="97">
        <v>13</v>
      </c>
      <c r="Z31" s="97">
        <v>5</v>
      </c>
      <c r="AA31" s="97">
        <f t="shared" si="23"/>
        <v>69</v>
      </c>
      <c r="AB31" s="99">
        <f t="shared" si="20"/>
        <v>0.25348076852430107</v>
      </c>
      <c r="AC31" s="101">
        <f>2+2+2+1</f>
        <v>7</v>
      </c>
      <c r="AD31" s="101">
        <v>0</v>
      </c>
      <c r="AE31" s="101">
        <f>52+54</f>
        <v>106</v>
      </c>
    </row>
    <row r="32" spans="1:31" ht="14.4" thickBot="1" x14ac:dyDescent="0.3">
      <c r="A32" s="89" t="s">
        <v>125</v>
      </c>
      <c r="B32" s="97">
        <v>11135</v>
      </c>
      <c r="C32" s="97">
        <v>9350</v>
      </c>
      <c r="D32" s="97">
        <v>16970</v>
      </c>
      <c r="E32" s="97">
        <v>16127</v>
      </c>
      <c r="F32" s="97">
        <v>3279</v>
      </c>
      <c r="G32" s="98">
        <f t="shared" si="17"/>
        <v>56861</v>
      </c>
      <c r="H32" s="97">
        <v>19</v>
      </c>
      <c r="I32" s="97">
        <v>12</v>
      </c>
      <c r="J32" s="97">
        <v>44</v>
      </c>
      <c r="K32" s="97">
        <v>28</v>
      </c>
      <c r="L32" s="97">
        <v>7</v>
      </c>
      <c r="M32" s="97">
        <f t="shared" si="21"/>
        <v>110</v>
      </c>
      <c r="N32" s="99">
        <f t="shared" si="18"/>
        <v>0.19345421290515469</v>
      </c>
      <c r="O32" s="97">
        <v>26</v>
      </c>
      <c r="P32" s="97">
        <v>25</v>
      </c>
      <c r="Q32" s="97">
        <v>64</v>
      </c>
      <c r="R32" s="97">
        <v>63</v>
      </c>
      <c r="S32" s="97">
        <v>7</v>
      </c>
      <c r="T32" s="97">
        <f t="shared" si="22"/>
        <v>185</v>
      </c>
      <c r="U32" s="99">
        <f t="shared" si="19"/>
        <v>0.32535481261321469</v>
      </c>
      <c r="V32" s="97">
        <v>49</v>
      </c>
      <c r="W32" s="97">
        <v>13</v>
      </c>
      <c r="X32" s="97">
        <v>108</v>
      </c>
      <c r="Y32" s="97">
        <v>72</v>
      </c>
      <c r="Z32" s="97">
        <v>17</v>
      </c>
      <c r="AA32" s="97">
        <f t="shared" si="23"/>
        <v>259</v>
      </c>
      <c r="AB32" s="99">
        <f t="shared" si="20"/>
        <v>0.45549673765850057</v>
      </c>
      <c r="AC32" s="101">
        <f>2+6+11+3</f>
        <v>22</v>
      </c>
      <c r="AD32" s="101">
        <v>0</v>
      </c>
      <c r="AE32" s="101">
        <f>179+98</f>
        <v>277</v>
      </c>
    </row>
    <row r="33" spans="1:31" ht="14.4" thickBot="1" x14ac:dyDescent="0.3">
      <c r="A33" s="89" t="s">
        <v>18</v>
      </c>
      <c r="B33" s="97">
        <v>1797</v>
      </c>
      <c r="C33" s="97">
        <v>1366</v>
      </c>
      <c r="D33" s="97">
        <v>1802</v>
      </c>
      <c r="E33" s="97">
        <v>1843</v>
      </c>
      <c r="F33" s="97">
        <v>2781</v>
      </c>
      <c r="G33" s="98">
        <f t="shared" si="17"/>
        <v>9589</v>
      </c>
      <c r="H33" s="97">
        <v>1</v>
      </c>
      <c r="I33" s="97">
        <v>0</v>
      </c>
      <c r="J33" s="97">
        <v>1</v>
      </c>
      <c r="K33" s="97">
        <v>1</v>
      </c>
      <c r="L33" s="97">
        <v>1</v>
      </c>
      <c r="M33" s="97">
        <f t="shared" si="21"/>
        <v>4</v>
      </c>
      <c r="N33" s="99">
        <f t="shared" si="18"/>
        <v>4.1714464490562105E-2</v>
      </c>
      <c r="O33" s="97">
        <v>5</v>
      </c>
      <c r="P33" s="97">
        <v>0</v>
      </c>
      <c r="Q33" s="97">
        <v>8</v>
      </c>
      <c r="R33" s="97">
        <v>5</v>
      </c>
      <c r="S33" s="97">
        <v>2</v>
      </c>
      <c r="T33" s="97">
        <f t="shared" si="22"/>
        <v>20</v>
      </c>
      <c r="U33" s="99">
        <f t="shared" si="19"/>
        <v>0.20857232245281052</v>
      </c>
      <c r="V33" s="97">
        <v>2</v>
      </c>
      <c r="W33" s="97">
        <v>1</v>
      </c>
      <c r="X33" s="97">
        <v>14</v>
      </c>
      <c r="Y33" s="97">
        <v>4</v>
      </c>
      <c r="Z33" s="97">
        <v>2</v>
      </c>
      <c r="AA33" s="97">
        <f t="shared" si="23"/>
        <v>23</v>
      </c>
      <c r="AB33" s="99">
        <f t="shared" si="20"/>
        <v>0.23985817082073208</v>
      </c>
      <c r="AC33" s="101">
        <f>1+3</f>
        <v>4</v>
      </c>
      <c r="AD33" s="101">
        <v>0</v>
      </c>
      <c r="AE33" s="101">
        <f>6+8</f>
        <v>14</v>
      </c>
    </row>
    <row r="34" spans="1:31" ht="14.4" thickBot="1" x14ac:dyDescent="0.3">
      <c r="A34" s="89" t="s">
        <v>19</v>
      </c>
      <c r="B34" s="97">
        <v>9094</v>
      </c>
      <c r="C34" s="97">
        <v>5728</v>
      </c>
      <c r="D34" s="97">
        <v>10201</v>
      </c>
      <c r="E34" s="97">
        <v>10200</v>
      </c>
      <c r="F34" s="97">
        <v>6133</v>
      </c>
      <c r="G34" s="98">
        <f t="shared" si="17"/>
        <v>41356</v>
      </c>
      <c r="H34" s="97">
        <v>38</v>
      </c>
      <c r="I34" s="97">
        <v>15</v>
      </c>
      <c r="J34" s="97">
        <v>49</v>
      </c>
      <c r="K34" s="97">
        <v>19</v>
      </c>
      <c r="L34" s="97">
        <v>13</v>
      </c>
      <c r="M34" s="97">
        <f t="shared" si="21"/>
        <v>134</v>
      </c>
      <c r="N34" s="99">
        <f t="shared" si="18"/>
        <v>0.32401586226907825</v>
      </c>
      <c r="O34" s="97">
        <v>66</v>
      </c>
      <c r="P34" s="97">
        <v>15</v>
      </c>
      <c r="Q34" s="97">
        <v>105</v>
      </c>
      <c r="R34" s="97">
        <v>55</v>
      </c>
      <c r="S34" s="97">
        <v>12</v>
      </c>
      <c r="T34" s="97">
        <f t="shared" si="22"/>
        <v>253</v>
      </c>
      <c r="U34" s="99">
        <f t="shared" si="19"/>
        <v>0.61176129219460296</v>
      </c>
      <c r="V34" s="97">
        <v>40</v>
      </c>
      <c r="W34" s="97">
        <v>6</v>
      </c>
      <c r="X34" s="97">
        <v>77</v>
      </c>
      <c r="Y34" s="97">
        <v>33</v>
      </c>
      <c r="Z34" s="97">
        <v>19</v>
      </c>
      <c r="AA34" s="97">
        <f t="shared" si="23"/>
        <v>175</v>
      </c>
      <c r="AB34" s="99">
        <f t="shared" si="20"/>
        <v>0.42315504400812459</v>
      </c>
      <c r="AC34" s="101">
        <f>15+15+26+7+1</f>
        <v>64</v>
      </c>
      <c r="AD34" s="101">
        <f>1</f>
        <v>1</v>
      </c>
      <c r="AE34" s="101">
        <f>208+63</f>
        <v>271</v>
      </c>
    </row>
    <row r="35" spans="1:31" ht="14.4" thickBot="1" x14ac:dyDescent="0.3">
      <c r="A35" s="89" t="s">
        <v>20</v>
      </c>
      <c r="B35" s="97">
        <v>5539</v>
      </c>
      <c r="C35" s="97">
        <v>3484</v>
      </c>
      <c r="D35" s="97">
        <v>7210</v>
      </c>
      <c r="E35" s="97">
        <v>7358</v>
      </c>
      <c r="F35" s="97">
        <v>5095</v>
      </c>
      <c r="G35" s="98">
        <f t="shared" si="17"/>
        <v>28686</v>
      </c>
      <c r="H35" s="97">
        <v>19</v>
      </c>
      <c r="I35" s="97">
        <v>4</v>
      </c>
      <c r="J35" s="97">
        <v>19</v>
      </c>
      <c r="K35" s="97">
        <v>16</v>
      </c>
      <c r="L35" s="97">
        <v>7</v>
      </c>
      <c r="M35" s="97">
        <f t="shared" si="21"/>
        <v>65</v>
      </c>
      <c r="N35" s="99">
        <f t="shared" si="18"/>
        <v>0.22659136861186641</v>
      </c>
      <c r="O35" s="97">
        <v>31</v>
      </c>
      <c r="P35" s="97">
        <v>4</v>
      </c>
      <c r="Q35" s="97">
        <v>35</v>
      </c>
      <c r="R35" s="97">
        <v>30</v>
      </c>
      <c r="S35" s="97">
        <v>9</v>
      </c>
      <c r="T35" s="97">
        <f t="shared" si="22"/>
        <v>109</v>
      </c>
      <c r="U35" s="99">
        <f t="shared" si="19"/>
        <v>0.37997629505682212</v>
      </c>
      <c r="V35" s="97">
        <v>28</v>
      </c>
      <c r="W35" s="97">
        <v>4</v>
      </c>
      <c r="X35" s="97">
        <v>49</v>
      </c>
      <c r="Y35" s="97">
        <v>33</v>
      </c>
      <c r="Z35" s="97">
        <v>7</v>
      </c>
      <c r="AA35" s="97">
        <f t="shared" si="23"/>
        <v>121</v>
      </c>
      <c r="AB35" s="99">
        <f t="shared" si="20"/>
        <v>0.42180854772362825</v>
      </c>
      <c r="AC35" s="101">
        <f>5+7+17+4</f>
        <v>33</v>
      </c>
      <c r="AD35" s="101">
        <f>1</f>
        <v>1</v>
      </c>
      <c r="AE35" s="101">
        <f>84+14</f>
        <v>98</v>
      </c>
    </row>
    <row r="36" spans="1:31" ht="14.4" thickBot="1" x14ac:dyDescent="0.3">
      <c r="A36" s="89" t="s">
        <v>25</v>
      </c>
      <c r="B36" s="97"/>
      <c r="C36" s="97"/>
      <c r="D36" s="97"/>
      <c r="E36" s="97"/>
      <c r="F36" s="97"/>
      <c r="G36" s="98">
        <f t="shared" si="17"/>
        <v>0</v>
      </c>
      <c r="H36" s="97"/>
      <c r="I36" s="97"/>
      <c r="J36" s="97"/>
      <c r="K36" s="97"/>
      <c r="L36" s="97"/>
      <c r="M36" s="97">
        <f t="shared" si="21"/>
        <v>0</v>
      </c>
      <c r="N36" s="99" t="e">
        <f t="shared" si="18"/>
        <v>#DIV/0!</v>
      </c>
      <c r="O36" s="97"/>
      <c r="P36" s="97"/>
      <c r="Q36" s="97"/>
      <c r="R36" s="97"/>
      <c r="S36" s="97"/>
      <c r="T36" s="97">
        <f t="shared" si="22"/>
        <v>0</v>
      </c>
      <c r="U36" s="99" t="e">
        <f t="shared" si="19"/>
        <v>#DIV/0!</v>
      </c>
      <c r="V36" s="97"/>
      <c r="W36" s="97"/>
      <c r="X36" s="97"/>
      <c r="Y36" s="97"/>
      <c r="Z36" s="97"/>
      <c r="AA36" s="97">
        <f t="shared" si="23"/>
        <v>0</v>
      </c>
      <c r="AB36" s="99" t="e">
        <f t="shared" si="20"/>
        <v>#DIV/0!</v>
      </c>
      <c r="AC36" s="101">
        <v>0</v>
      </c>
      <c r="AD36" s="101"/>
      <c r="AE36" s="101"/>
    </row>
    <row r="37" spans="1:31" ht="14.4" thickBot="1" x14ac:dyDescent="0.3">
      <c r="A37" s="89" t="s">
        <v>26</v>
      </c>
      <c r="B37" s="97">
        <v>33897</v>
      </c>
      <c r="C37" s="97">
        <v>23387</v>
      </c>
      <c r="D37" s="97">
        <v>48022</v>
      </c>
      <c r="E37" s="97">
        <v>47753</v>
      </c>
      <c r="F37" s="97">
        <v>27996</v>
      </c>
      <c r="G37" s="98">
        <f>SUM(B37:F37)</f>
        <v>181055</v>
      </c>
      <c r="H37" s="97">
        <v>78</v>
      </c>
      <c r="I37" s="97">
        <v>47</v>
      </c>
      <c r="J37" s="97">
        <v>86</v>
      </c>
      <c r="K37" s="97">
        <v>52</v>
      </c>
      <c r="L37" s="97">
        <v>21</v>
      </c>
      <c r="M37" s="97">
        <f t="shared" si="21"/>
        <v>284</v>
      </c>
      <c r="N37" s="99">
        <f t="shared" si="18"/>
        <v>0.15685841318936236</v>
      </c>
      <c r="O37" s="97">
        <v>114</v>
      </c>
      <c r="P37" s="97">
        <v>47</v>
      </c>
      <c r="Q37" s="97">
        <v>200</v>
      </c>
      <c r="R37" s="97">
        <v>137</v>
      </c>
      <c r="S37" s="97">
        <v>41</v>
      </c>
      <c r="T37" s="97">
        <f t="shared" si="22"/>
        <v>539</v>
      </c>
      <c r="U37" s="99">
        <f t="shared" si="19"/>
        <v>0.2976995940460081</v>
      </c>
      <c r="V37" s="97">
        <v>156</v>
      </c>
      <c r="W37" s="97">
        <v>68</v>
      </c>
      <c r="X37" s="97">
        <v>240</v>
      </c>
      <c r="Y37" s="97">
        <v>137</v>
      </c>
      <c r="Z37" s="97">
        <v>56</v>
      </c>
      <c r="AA37" s="97">
        <f t="shared" si="23"/>
        <v>657</v>
      </c>
      <c r="AB37" s="99">
        <f t="shared" si="20"/>
        <v>0.36287316008947557</v>
      </c>
      <c r="AC37" s="101">
        <f>12+6+36+5</f>
        <v>59</v>
      </c>
      <c r="AD37" s="101">
        <f>2+1</f>
        <v>3</v>
      </c>
      <c r="AE37" s="97">
        <f>288+197</f>
        <v>485</v>
      </c>
    </row>
    <row r="38" spans="1:31" s="132" customFormat="1" ht="14.4" thickBot="1" x14ac:dyDescent="0.3">
      <c r="A38" s="128" t="s">
        <v>21</v>
      </c>
      <c r="B38" s="111">
        <f>SUM(B28:B37)</f>
        <v>71262</v>
      </c>
      <c r="C38" s="111">
        <f>SUM(C28:C37)</f>
        <v>49935</v>
      </c>
      <c r="D38" s="111">
        <f>SUM(D28:D37)</f>
        <v>96198</v>
      </c>
      <c r="E38" s="111">
        <f>SUM(E28:E37)</f>
        <v>95330</v>
      </c>
      <c r="F38" s="111">
        <f>SUM(F28:F37)</f>
        <v>56580</v>
      </c>
      <c r="G38" s="102">
        <f>SUM(B38:F38)</f>
        <v>369305</v>
      </c>
      <c r="H38" s="111">
        <f>SUM(H28:H37)</f>
        <v>168</v>
      </c>
      <c r="I38" s="111">
        <f>SUM(I28:I37)</f>
        <v>86</v>
      </c>
      <c r="J38" s="111">
        <f>SUM(J28:J37)</f>
        <v>221</v>
      </c>
      <c r="K38" s="111">
        <f>SUM(K28:K37)</f>
        <v>123</v>
      </c>
      <c r="L38" s="111">
        <f>SUM(L28:L37)</f>
        <v>60</v>
      </c>
      <c r="M38" s="103">
        <f t="shared" si="21"/>
        <v>658</v>
      </c>
      <c r="N38" s="104">
        <f t="shared" si="18"/>
        <v>0.17817251323431851</v>
      </c>
      <c r="O38" s="111">
        <f>SUM(O28:O37)</f>
        <v>263</v>
      </c>
      <c r="P38" s="111">
        <f>SUM(P28:P37)</f>
        <v>104</v>
      </c>
      <c r="Q38" s="111">
        <f>SUM(Q28:Q37)</f>
        <v>452</v>
      </c>
      <c r="R38" s="111">
        <v>137</v>
      </c>
      <c r="S38" s="111">
        <f>SUM(S28:S37)</f>
        <v>83</v>
      </c>
      <c r="T38" s="103">
        <f t="shared" si="22"/>
        <v>1039</v>
      </c>
      <c r="U38" s="104">
        <f t="shared" si="19"/>
        <v>0.28133927241710782</v>
      </c>
      <c r="V38" s="111">
        <f>SUM(V28:V37)</f>
        <v>288</v>
      </c>
      <c r="W38" s="111">
        <f>SUM(W28:W37)</f>
        <v>101</v>
      </c>
      <c r="X38" s="111">
        <f>SUM(X28:X37)</f>
        <v>552</v>
      </c>
      <c r="Y38" s="111">
        <f>SUM(Y28:Y37)</f>
        <v>306</v>
      </c>
      <c r="Z38" s="111">
        <f>SUM(Z28:Z37)</f>
        <v>109</v>
      </c>
      <c r="AA38" s="103">
        <f t="shared" si="23"/>
        <v>1356</v>
      </c>
      <c r="AB38" s="104">
        <f t="shared" si="20"/>
        <v>0.36717618228835247</v>
      </c>
      <c r="AC38" s="107">
        <f>SUM(AC28:AC37)</f>
        <v>201</v>
      </c>
      <c r="AD38" s="107">
        <f t="shared" ref="AD38:AE38" si="24">SUM(AD28:AD37)</f>
        <v>6</v>
      </c>
      <c r="AE38" s="114">
        <f t="shared" si="24"/>
        <v>1330</v>
      </c>
    </row>
    <row r="39" spans="1:31" ht="13.8" x14ac:dyDescent="0.25">
      <c r="A39" s="129"/>
      <c r="B39" s="130"/>
      <c r="C39" s="130"/>
      <c r="D39" s="130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27"/>
      <c r="AD39" s="127"/>
      <c r="AE39" s="127"/>
    </row>
    <row r="40" spans="1:31" ht="14.4" thickBot="1" x14ac:dyDescent="0.3">
      <c r="A40" s="6" t="s">
        <v>28</v>
      </c>
      <c r="B40" s="113"/>
      <c r="C40" s="113"/>
      <c r="D40" s="113"/>
      <c r="E40" s="113"/>
      <c r="F40" s="113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27"/>
      <c r="AD40" s="127"/>
      <c r="AE40" s="127"/>
    </row>
    <row r="41" spans="1:31" ht="14.4" thickBot="1" x14ac:dyDescent="0.3">
      <c r="A41" s="89" t="s">
        <v>40</v>
      </c>
      <c r="B41" s="97"/>
      <c r="C41" s="97"/>
      <c r="D41" s="97"/>
      <c r="E41" s="97"/>
      <c r="F41" s="97"/>
      <c r="G41" s="98">
        <f>SUM(B41:F41)</f>
        <v>0</v>
      </c>
      <c r="H41" s="97"/>
      <c r="I41" s="97"/>
      <c r="J41" s="97"/>
      <c r="K41" s="97"/>
      <c r="L41" s="120"/>
      <c r="M41" s="97">
        <f>SUM(H41:L41)</f>
        <v>0</v>
      </c>
      <c r="N41" s="99" t="e">
        <f>M41*100/$G41</f>
        <v>#DIV/0!</v>
      </c>
      <c r="O41" s="97"/>
      <c r="P41" s="97"/>
      <c r="Q41" s="97"/>
      <c r="R41" s="97"/>
      <c r="S41" s="120"/>
      <c r="T41" s="97">
        <f>SUM(O41:S41)</f>
        <v>0</v>
      </c>
      <c r="U41" s="99" t="e">
        <f>T41*100/$G41</f>
        <v>#DIV/0!</v>
      </c>
      <c r="V41" s="97"/>
      <c r="W41" s="97"/>
      <c r="X41" s="97"/>
      <c r="Y41" s="97"/>
      <c r="Z41" s="120"/>
      <c r="AA41" s="97">
        <f>SUM(V41:Z41)</f>
        <v>0</v>
      </c>
      <c r="AB41" s="99" t="e">
        <f>AA41*100/$G41</f>
        <v>#DIV/0!</v>
      </c>
      <c r="AC41" s="101">
        <v>0</v>
      </c>
      <c r="AD41" s="101"/>
      <c r="AE41" s="101"/>
    </row>
    <row r="42" spans="1:31" ht="14.4" thickBot="1" x14ac:dyDescent="0.3">
      <c r="A42" s="89" t="s">
        <v>27</v>
      </c>
      <c r="B42" s="97">
        <v>56884</v>
      </c>
      <c r="C42" s="97">
        <v>35967</v>
      </c>
      <c r="D42" s="109">
        <v>54786</v>
      </c>
      <c r="E42" s="97">
        <v>59137</v>
      </c>
      <c r="F42" s="97">
        <v>49370</v>
      </c>
      <c r="G42" s="98">
        <f>SUM(B42:F42)</f>
        <v>256144</v>
      </c>
      <c r="H42" s="97">
        <v>31</v>
      </c>
      <c r="I42" s="97">
        <v>20</v>
      </c>
      <c r="J42" s="97">
        <v>12</v>
      </c>
      <c r="K42" s="97">
        <v>14</v>
      </c>
      <c r="L42" s="97">
        <v>13</v>
      </c>
      <c r="M42" s="97">
        <f>SUM(H42:L42)</f>
        <v>90</v>
      </c>
      <c r="N42" s="99">
        <f t="shared" ref="N42:N43" si="25">M42*100/$G42</f>
        <v>3.5136485726778688E-2</v>
      </c>
      <c r="O42" s="97">
        <v>40</v>
      </c>
      <c r="P42" s="97">
        <v>40</v>
      </c>
      <c r="Q42" s="97">
        <v>16</v>
      </c>
      <c r="R42" s="97">
        <v>23</v>
      </c>
      <c r="S42" s="97">
        <v>4</v>
      </c>
      <c r="T42" s="97">
        <f>SUM(O42:S42)</f>
        <v>123</v>
      </c>
      <c r="U42" s="99">
        <f>T42*100/$G42</f>
        <v>4.8019863826597536E-2</v>
      </c>
      <c r="V42" s="97">
        <v>39</v>
      </c>
      <c r="W42" s="97">
        <v>32</v>
      </c>
      <c r="X42" s="97">
        <v>90</v>
      </c>
      <c r="Y42" s="97">
        <v>27</v>
      </c>
      <c r="Z42" s="97">
        <v>4</v>
      </c>
      <c r="AA42" s="97">
        <f>SUM(V42:Z42)</f>
        <v>192</v>
      </c>
      <c r="AB42" s="99">
        <f t="shared" ref="AB42:AB43" si="26">AA42*100/$G42</f>
        <v>7.4957836217127871E-2</v>
      </c>
      <c r="AC42" s="101">
        <f>7+4+2+2+1</f>
        <v>16</v>
      </c>
      <c r="AD42" s="101">
        <f>1</f>
        <v>1</v>
      </c>
      <c r="AE42" s="101">
        <f>40+69</f>
        <v>109</v>
      </c>
    </row>
    <row r="43" spans="1:31" s="132" customFormat="1" ht="14.4" thickBot="1" x14ac:dyDescent="0.3">
      <c r="A43" s="128" t="s">
        <v>21</v>
      </c>
      <c r="B43" s="111">
        <f>SUM(B41:B42)</f>
        <v>56884</v>
      </c>
      <c r="C43" s="111">
        <f t="shared" ref="C43:H43" si="27">SUM(C41:C42)</f>
        <v>35967</v>
      </c>
      <c r="D43" s="111">
        <f t="shared" si="27"/>
        <v>54786</v>
      </c>
      <c r="E43" s="111">
        <f t="shared" si="27"/>
        <v>59137</v>
      </c>
      <c r="F43" s="111">
        <f t="shared" si="27"/>
        <v>49370</v>
      </c>
      <c r="G43" s="102">
        <f>SUM(G41:G42)</f>
        <v>256144</v>
      </c>
      <c r="H43" s="111">
        <f t="shared" si="27"/>
        <v>31</v>
      </c>
      <c r="I43" s="111">
        <f t="shared" ref="I43" si="28">SUM(I41:I42)</f>
        <v>20</v>
      </c>
      <c r="J43" s="111">
        <f t="shared" ref="J43" si="29">SUM(J41:J42)</f>
        <v>12</v>
      </c>
      <c r="K43" s="111">
        <f t="shared" ref="K43" si="30">SUM(K41:K42)</f>
        <v>14</v>
      </c>
      <c r="L43" s="111">
        <f t="shared" ref="L43" si="31">SUM(L41:L42)</f>
        <v>13</v>
      </c>
      <c r="M43" s="103">
        <f>SUM(M41:M42)</f>
        <v>90</v>
      </c>
      <c r="N43" s="104">
        <f t="shared" si="25"/>
        <v>3.5136485726778688E-2</v>
      </c>
      <c r="O43" s="111">
        <f t="shared" ref="O43" si="32">SUM(O41:O42)</f>
        <v>40</v>
      </c>
      <c r="P43" s="111">
        <f t="shared" ref="P43" si="33">SUM(P41:P42)</f>
        <v>40</v>
      </c>
      <c r="Q43" s="111">
        <f t="shared" ref="Q43" si="34">SUM(Q41:Q42)</f>
        <v>16</v>
      </c>
      <c r="R43" s="111">
        <f t="shared" ref="R43" si="35">SUM(R41:R42)</f>
        <v>23</v>
      </c>
      <c r="S43" s="111">
        <f t="shared" ref="S43" si="36">SUM(S41:S42)</f>
        <v>4</v>
      </c>
      <c r="T43" s="103">
        <f>SUM(T41:T42)</f>
        <v>123</v>
      </c>
      <c r="U43" s="104">
        <f>T43*100/$G43</f>
        <v>4.8019863826597536E-2</v>
      </c>
      <c r="V43" s="111">
        <f t="shared" ref="V43" si="37">SUM(V41:V42)</f>
        <v>39</v>
      </c>
      <c r="W43" s="111">
        <f t="shared" ref="W43" si="38">SUM(W41:W42)</f>
        <v>32</v>
      </c>
      <c r="X43" s="111">
        <f t="shared" ref="X43" si="39">SUM(X41:X42)</f>
        <v>90</v>
      </c>
      <c r="Y43" s="111">
        <f t="shared" ref="Y43" si="40">SUM(Y41:Y42)</f>
        <v>27</v>
      </c>
      <c r="Z43" s="111">
        <f t="shared" ref="Z43" si="41">SUM(Z41:Z42)</f>
        <v>4</v>
      </c>
      <c r="AA43" s="103">
        <f>SUM(AA41:AA42)</f>
        <v>192</v>
      </c>
      <c r="AB43" s="104">
        <f t="shared" si="26"/>
        <v>7.4957836217127871E-2</v>
      </c>
      <c r="AC43" s="107">
        <f>SUM(AC41:AC42)</f>
        <v>16</v>
      </c>
      <c r="AD43" s="107">
        <f t="shared" ref="AD43:AE43" si="42">SUM(AD41:AD42)</f>
        <v>1</v>
      </c>
      <c r="AE43" s="107">
        <f t="shared" si="42"/>
        <v>109</v>
      </c>
    </row>
    <row r="44" spans="1:31" ht="16.2" thickBot="1" x14ac:dyDescent="0.3">
      <c r="A44" s="121" t="s">
        <v>48</v>
      </c>
      <c r="B44" s="138">
        <f>B12+B26+B38+B43</f>
        <v>128146</v>
      </c>
      <c r="C44" s="134">
        <f>C12+C26+C38+C43</f>
        <v>85902</v>
      </c>
      <c r="D44" s="138">
        <f>D12+D26+D38+D43</f>
        <v>150984</v>
      </c>
      <c r="E44" s="134">
        <f>SUM(B44:D44)</f>
        <v>365032</v>
      </c>
      <c r="F44" s="134">
        <f t="shared" ref="F44" si="43">F12+F26+F38+F43</f>
        <v>105950</v>
      </c>
      <c r="G44" s="122">
        <f>G12+G26+G38+G43</f>
        <v>625449</v>
      </c>
      <c r="H44" s="122">
        <f t="shared" ref="H44:AE44" si="44">H11+H25+H38+H43</f>
        <v>221</v>
      </c>
      <c r="I44" s="122">
        <f t="shared" si="44"/>
        <v>111</v>
      </c>
      <c r="J44" s="122">
        <f t="shared" si="44"/>
        <v>245</v>
      </c>
      <c r="K44" s="122">
        <f t="shared" si="44"/>
        <v>150</v>
      </c>
      <c r="L44" s="122">
        <f t="shared" si="44"/>
        <v>80</v>
      </c>
      <c r="M44" s="122">
        <f t="shared" si="44"/>
        <v>807</v>
      </c>
      <c r="N44" s="123">
        <f>M44*100/G44</f>
        <v>0.12902730678280724</v>
      </c>
      <c r="O44" s="122">
        <f t="shared" si="44"/>
        <v>354</v>
      </c>
      <c r="P44" s="122">
        <f t="shared" si="44"/>
        <v>154</v>
      </c>
      <c r="Q44" s="122">
        <f t="shared" si="44"/>
        <v>514</v>
      </c>
      <c r="R44" s="122">
        <f t="shared" si="44"/>
        <v>199</v>
      </c>
      <c r="S44" s="122">
        <f t="shared" si="44"/>
        <v>96</v>
      </c>
      <c r="T44" s="122">
        <f t="shared" si="44"/>
        <v>1317</v>
      </c>
      <c r="U44" s="123">
        <f t="shared" ref="U44" si="45">T44*100/G44</f>
        <v>0.21056872742621702</v>
      </c>
      <c r="V44" s="122">
        <f t="shared" si="44"/>
        <v>384</v>
      </c>
      <c r="W44" s="122">
        <f t="shared" si="44"/>
        <v>141</v>
      </c>
      <c r="X44" s="122">
        <f t="shared" si="44"/>
        <v>779</v>
      </c>
      <c r="Y44" s="122">
        <f t="shared" si="44"/>
        <v>379</v>
      </c>
      <c r="Z44" s="122">
        <f t="shared" si="44"/>
        <v>126</v>
      </c>
      <c r="AA44" s="122">
        <f t="shared" si="44"/>
        <v>1809</v>
      </c>
      <c r="AB44" s="123">
        <f t="shared" ref="AB44" si="46">AA44*100/G44</f>
        <v>0.28923221557632994</v>
      </c>
      <c r="AC44" s="122">
        <f>AC11+AC25+AC38+AC43</f>
        <v>217</v>
      </c>
      <c r="AD44" s="122">
        <f t="shared" si="44"/>
        <v>13</v>
      </c>
      <c r="AE44" s="122">
        <f t="shared" si="44"/>
        <v>2718</v>
      </c>
    </row>
  </sheetData>
  <mergeCells count="9">
    <mergeCell ref="A1:AE1"/>
    <mergeCell ref="A3:A4"/>
    <mergeCell ref="B3:G3"/>
    <mergeCell ref="H3:M3"/>
    <mergeCell ref="N3:N4"/>
    <mergeCell ref="O3:T3"/>
    <mergeCell ref="U3:U4"/>
    <mergeCell ref="V3:AA3"/>
    <mergeCell ref="AB3:AB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AF2E-2129-4FE6-8069-322B13753535}">
  <dimension ref="A1:AE4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114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196</v>
      </c>
      <c r="C6" s="97">
        <v>69</v>
      </c>
      <c r="D6" s="97">
        <v>268</v>
      </c>
      <c r="E6" s="137">
        <v>94</v>
      </c>
      <c r="F6" s="97">
        <v>145</v>
      </c>
      <c r="G6" s="98">
        <f>SUM(B6:F6)</f>
        <v>772</v>
      </c>
      <c r="H6" s="97">
        <v>2</v>
      </c>
      <c r="I6" s="97">
        <v>0</v>
      </c>
      <c r="J6" s="97">
        <v>0</v>
      </c>
      <c r="K6" s="97">
        <v>0</v>
      </c>
      <c r="L6" s="97">
        <v>0</v>
      </c>
      <c r="M6" s="101">
        <f t="shared" ref="M6:M11" si="0">SUM(H6:L6)</f>
        <v>2</v>
      </c>
      <c r="N6" s="99">
        <f>M6*100/G6</f>
        <v>0.25906735751295334</v>
      </c>
      <c r="O6" s="97">
        <v>0</v>
      </c>
      <c r="P6" s="97">
        <v>0</v>
      </c>
      <c r="Q6" s="97">
        <v>2</v>
      </c>
      <c r="R6" s="97">
        <v>0</v>
      </c>
      <c r="S6" s="97">
        <v>1</v>
      </c>
      <c r="T6" s="101">
        <f t="shared" ref="T6:T11" si="1">SUM(O6:S6)</f>
        <v>3</v>
      </c>
      <c r="U6" s="99">
        <v>0.38860103626943004</v>
      </c>
      <c r="V6" s="97">
        <v>2</v>
      </c>
      <c r="W6" s="97">
        <v>2</v>
      </c>
      <c r="X6" s="97">
        <v>6</v>
      </c>
      <c r="Y6" s="97">
        <v>0</v>
      </c>
      <c r="Z6" s="97">
        <v>0</v>
      </c>
      <c r="AA6" s="97">
        <v>10</v>
      </c>
      <c r="AB6" s="99">
        <v>1.2953367875647668</v>
      </c>
      <c r="AC6" s="101">
        <v>0</v>
      </c>
      <c r="AD6" s="101">
        <v>0</v>
      </c>
      <c r="AE6" s="101">
        <v>49</v>
      </c>
    </row>
    <row r="7" spans="1:31" ht="14.4" thickBot="1" x14ac:dyDescent="0.3">
      <c r="A7" s="90" t="s">
        <v>2</v>
      </c>
      <c r="B7" s="97">
        <v>1358</v>
      </c>
      <c r="C7" s="97">
        <v>371</v>
      </c>
      <c r="D7" s="97">
        <v>1721</v>
      </c>
      <c r="E7" s="137">
        <v>1418</v>
      </c>
      <c r="F7" s="97">
        <v>713</v>
      </c>
      <c r="G7" s="98">
        <f>SUM(B7:F7)</f>
        <v>5581</v>
      </c>
      <c r="H7" s="97">
        <v>1</v>
      </c>
      <c r="I7" s="97">
        <v>1</v>
      </c>
      <c r="J7" s="97">
        <v>9</v>
      </c>
      <c r="K7" s="97">
        <v>1</v>
      </c>
      <c r="L7" s="97">
        <v>0</v>
      </c>
      <c r="M7" s="97">
        <f t="shared" si="0"/>
        <v>12</v>
      </c>
      <c r="N7" s="99">
        <f>M7*100/G7</f>
        <v>0.21501523024547572</v>
      </c>
      <c r="O7" s="97">
        <v>13</v>
      </c>
      <c r="P7" s="97">
        <v>3</v>
      </c>
      <c r="Q7" s="97">
        <v>17</v>
      </c>
      <c r="R7" s="97">
        <v>8</v>
      </c>
      <c r="S7" s="97">
        <v>4</v>
      </c>
      <c r="T7" s="97">
        <f t="shared" si="1"/>
        <v>45</v>
      </c>
      <c r="U7" s="99">
        <v>0.80630711342053396</v>
      </c>
      <c r="V7" s="97">
        <v>8</v>
      </c>
      <c r="W7" s="97">
        <v>1</v>
      </c>
      <c r="X7" s="97">
        <v>33</v>
      </c>
      <c r="Y7" s="97">
        <v>6</v>
      </c>
      <c r="Z7" s="97">
        <v>4</v>
      </c>
      <c r="AA7" s="97">
        <v>52</v>
      </c>
      <c r="AB7" s="99">
        <v>0.93173266439706148</v>
      </c>
      <c r="AC7" s="101">
        <v>0</v>
      </c>
      <c r="AD7" s="101">
        <v>0</v>
      </c>
      <c r="AE7" s="101">
        <v>244</v>
      </c>
    </row>
    <row r="8" spans="1:31" ht="14.4" thickBot="1" x14ac:dyDescent="0.3">
      <c r="A8" s="90" t="s">
        <v>14</v>
      </c>
      <c r="B8" s="97">
        <v>153</v>
      </c>
      <c r="C8" s="97">
        <v>87</v>
      </c>
      <c r="D8" s="97">
        <v>245</v>
      </c>
      <c r="E8" s="137">
        <v>162</v>
      </c>
      <c r="F8" s="97">
        <v>84</v>
      </c>
      <c r="G8" s="98">
        <f>SUM(B8:F8)</f>
        <v>731</v>
      </c>
      <c r="H8" s="97">
        <v>1</v>
      </c>
      <c r="I8" s="97">
        <v>0</v>
      </c>
      <c r="J8" s="97">
        <v>0</v>
      </c>
      <c r="K8" s="97">
        <v>0</v>
      </c>
      <c r="L8" s="97">
        <v>0</v>
      </c>
      <c r="M8" s="101">
        <f t="shared" si="0"/>
        <v>1</v>
      </c>
      <c r="N8" s="99">
        <f>M8*100/G8</f>
        <v>0.13679890560875513</v>
      </c>
      <c r="O8" s="97">
        <v>0</v>
      </c>
      <c r="P8" s="97">
        <v>0</v>
      </c>
      <c r="Q8" s="97">
        <v>1</v>
      </c>
      <c r="R8" s="97">
        <v>0</v>
      </c>
      <c r="S8" s="97">
        <v>0</v>
      </c>
      <c r="T8" s="101">
        <f t="shared" si="1"/>
        <v>1</v>
      </c>
      <c r="U8" s="99">
        <v>0.13679890560875513</v>
      </c>
      <c r="V8" s="97">
        <v>1</v>
      </c>
      <c r="W8" s="97">
        <v>0</v>
      </c>
      <c r="X8" s="97">
        <v>6</v>
      </c>
      <c r="Y8" s="97">
        <v>0</v>
      </c>
      <c r="Z8" s="97">
        <v>0</v>
      </c>
      <c r="AA8" s="97">
        <v>7</v>
      </c>
      <c r="AB8" s="99">
        <v>0.95759233926128595</v>
      </c>
      <c r="AC8" s="101">
        <v>0</v>
      </c>
      <c r="AD8" s="101">
        <v>0</v>
      </c>
      <c r="AE8" s="101">
        <v>32</v>
      </c>
    </row>
    <row r="9" spans="1:31" ht="14.4" thickBot="1" x14ac:dyDescent="0.3">
      <c r="A9" s="90" t="s">
        <v>3</v>
      </c>
      <c r="B9" s="97">
        <v>147</v>
      </c>
      <c r="C9" s="97">
        <v>85</v>
      </c>
      <c r="D9" s="97">
        <v>268</v>
      </c>
      <c r="E9" s="137">
        <v>243</v>
      </c>
      <c r="F9" s="97">
        <v>94</v>
      </c>
      <c r="G9" s="98">
        <f>SUM(B9:F9)</f>
        <v>837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f t="shared" si="0"/>
        <v>0</v>
      </c>
      <c r="N9" s="99">
        <f>M9*100/G9</f>
        <v>0</v>
      </c>
      <c r="O9" s="97">
        <v>3</v>
      </c>
      <c r="P9" s="97">
        <v>0</v>
      </c>
      <c r="Q9" s="97">
        <v>5</v>
      </c>
      <c r="R9" s="97">
        <v>2</v>
      </c>
      <c r="S9" s="97">
        <v>0</v>
      </c>
      <c r="T9" s="97">
        <f t="shared" si="1"/>
        <v>10</v>
      </c>
      <c r="U9" s="99">
        <v>1.1947431302270013</v>
      </c>
      <c r="V9" s="97">
        <v>0</v>
      </c>
      <c r="W9" s="97">
        <v>0</v>
      </c>
      <c r="X9" s="97">
        <v>6</v>
      </c>
      <c r="Y9" s="97">
        <v>3</v>
      </c>
      <c r="Z9" s="97">
        <v>1</v>
      </c>
      <c r="AA9" s="97">
        <v>10</v>
      </c>
      <c r="AB9" s="99">
        <v>1.1947431302270013</v>
      </c>
      <c r="AC9" s="101">
        <v>0</v>
      </c>
      <c r="AD9" s="101">
        <v>0</v>
      </c>
      <c r="AE9" s="101">
        <v>44</v>
      </c>
    </row>
    <row r="10" spans="1:31" ht="23.4" thickBot="1" x14ac:dyDescent="0.3">
      <c r="A10" s="139" t="s">
        <v>23</v>
      </c>
      <c r="B10" s="97">
        <v>1074</v>
      </c>
      <c r="C10" s="97">
        <v>243</v>
      </c>
      <c r="D10" s="97">
        <v>1310</v>
      </c>
      <c r="E10" s="137">
        <v>752</v>
      </c>
      <c r="F10" s="97">
        <v>524</v>
      </c>
      <c r="G10" s="98">
        <f>SUM(B10:F10)</f>
        <v>3903</v>
      </c>
      <c r="H10" s="97">
        <v>4</v>
      </c>
      <c r="I10" s="97">
        <v>0</v>
      </c>
      <c r="J10" s="97">
        <v>2</v>
      </c>
      <c r="K10" s="97">
        <v>3</v>
      </c>
      <c r="L10" s="97">
        <v>0</v>
      </c>
      <c r="M10" s="97">
        <f t="shared" si="0"/>
        <v>9</v>
      </c>
      <c r="N10" s="99">
        <f>M10*100/G10</f>
        <v>0.23059185242121444</v>
      </c>
      <c r="O10" s="97">
        <v>15</v>
      </c>
      <c r="P10" s="97">
        <v>0</v>
      </c>
      <c r="Q10" s="97">
        <v>7</v>
      </c>
      <c r="R10" s="97">
        <v>11</v>
      </c>
      <c r="S10" s="97">
        <v>2</v>
      </c>
      <c r="T10" s="100">
        <f t="shared" si="1"/>
        <v>35</v>
      </c>
      <c r="U10" s="99">
        <v>0.89674609274916728</v>
      </c>
      <c r="V10" s="97">
        <v>7</v>
      </c>
      <c r="W10" s="97">
        <v>2</v>
      </c>
      <c r="X10" s="97">
        <v>17</v>
      </c>
      <c r="Y10" s="97">
        <v>0</v>
      </c>
      <c r="Z10" s="97">
        <v>0</v>
      </c>
      <c r="AA10" s="97">
        <v>26</v>
      </c>
      <c r="AB10" s="99">
        <v>0.6661542403279529</v>
      </c>
      <c r="AC10" s="101">
        <v>0</v>
      </c>
      <c r="AD10" s="101">
        <v>4</v>
      </c>
      <c r="AE10" s="101">
        <v>175</v>
      </c>
    </row>
    <row r="11" spans="1:31" s="132" customFormat="1" ht="14.4" thickBot="1" x14ac:dyDescent="0.3">
      <c r="A11" s="124" t="s">
        <v>21</v>
      </c>
      <c r="B11" s="105">
        <f t="shared" ref="B11:L11" si="2">SUM(B6:B10)</f>
        <v>2928</v>
      </c>
      <c r="C11" s="105">
        <f t="shared" si="2"/>
        <v>855</v>
      </c>
      <c r="D11" s="105">
        <f t="shared" si="2"/>
        <v>3812</v>
      </c>
      <c r="E11" s="105">
        <f t="shared" si="2"/>
        <v>2669</v>
      </c>
      <c r="F11" s="105">
        <f t="shared" si="2"/>
        <v>1560</v>
      </c>
      <c r="G11" s="102">
        <f t="shared" si="2"/>
        <v>11824</v>
      </c>
      <c r="H11" s="111">
        <f t="shared" si="2"/>
        <v>8</v>
      </c>
      <c r="I11" s="111">
        <f t="shared" si="2"/>
        <v>1</v>
      </c>
      <c r="J11" s="111">
        <f t="shared" si="2"/>
        <v>11</v>
      </c>
      <c r="K11" s="111">
        <f t="shared" si="2"/>
        <v>4</v>
      </c>
      <c r="L11" s="111">
        <f t="shared" si="2"/>
        <v>0</v>
      </c>
      <c r="M11" s="103">
        <f t="shared" si="0"/>
        <v>24</v>
      </c>
      <c r="N11" s="104">
        <f t="shared" ref="N11:N41" si="3">M11*100/G11</f>
        <v>0.20297699594046009</v>
      </c>
      <c r="O11" s="105">
        <f>SUM(O7:O10)</f>
        <v>31</v>
      </c>
      <c r="P11" s="105">
        <f>SUM(P6:P10)</f>
        <v>3</v>
      </c>
      <c r="Q11" s="105">
        <f>SUM(Q6:Q10)</f>
        <v>32</v>
      </c>
      <c r="R11" s="105">
        <f>SUM(R6:R10)</f>
        <v>21</v>
      </c>
      <c r="S11" s="105">
        <f>SUM(S6:S10)</f>
        <v>7</v>
      </c>
      <c r="T11" s="103">
        <f t="shared" si="1"/>
        <v>94</v>
      </c>
      <c r="U11" s="104">
        <v>0.79499323410013534</v>
      </c>
      <c r="V11" s="105">
        <f>SUM(V7:V10)</f>
        <v>16</v>
      </c>
      <c r="W11" s="105">
        <f>SUM(W6:W10)</f>
        <v>5</v>
      </c>
      <c r="X11" s="105">
        <f>SUM(X6:X10)</f>
        <v>68</v>
      </c>
      <c r="Y11" s="105">
        <f>SUM(Y6:Y10)</f>
        <v>9</v>
      </c>
      <c r="Z11" s="105">
        <f>SUM(Z6:Z10)</f>
        <v>5</v>
      </c>
      <c r="AA11" s="103">
        <f t="shared" ref="AA11" si="4">SUM(V11:Z11)</f>
        <v>103</v>
      </c>
      <c r="AB11" s="104">
        <v>0.8880243572395129</v>
      </c>
      <c r="AC11" s="107">
        <f>SUM(AC6:AC10)</f>
        <v>0</v>
      </c>
      <c r="AD11" s="107">
        <f t="shared" ref="AD11:AE11" si="5">SUM(AD6:AD10)</f>
        <v>4</v>
      </c>
      <c r="AE11" s="107">
        <f t="shared" si="5"/>
        <v>544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s="131" customFormat="1" ht="14.4" thickBot="1" x14ac:dyDescent="0.3">
      <c r="A14" s="89" t="s">
        <v>4</v>
      </c>
      <c r="B14" s="97">
        <v>56</v>
      </c>
      <c r="C14" s="97">
        <v>6</v>
      </c>
      <c r="D14" s="97">
        <v>82</v>
      </c>
      <c r="E14" s="97">
        <v>25</v>
      </c>
      <c r="F14" s="97">
        <v>24</v>
      </c>
      <c r="G14" s="98">
        <f t="shared" ref="G14:G25" si="6">SUM(B14:F14)</f>
        <v>193</v>
      </c>
      <c r="H14" s="97">
        <v>0</v>
      </c>
      <c r="I14" s="97">
        <v>0</v>
      </c>
      <c r="J14" s="97">
        <v>0</v>
      </c>
      <c r="K14" s="97">
        <v>1</v>
      </c>
      <c r="L14" s="97">
        <v>0</v>
      </c>
      <c r="M14" s="101">
        <f>SUM(H14:L14)</f>
        <v>1</v>
      </c>
      <c r="N14" s="99">
        <f t="shared" si="3"/>
        <v>0.51813471502590669</v>
      </c>
      <c r="O14" s="97">
        <v>0</v>
      </c>
      <c r="P14" s="97">
        <v>0</v>
      </c>
      <c r="Q14" s="97">
        <v>0</v>
      </c>
      <c r="R14" s="97">
        <v>1</v>
      </c>
      <c r="S14" s="97">
        <v>0</v>
      </c>
      <c r="T14" s="97">
        <f>SUM(O14:S14)</f>
        <v>1</v>
      </c>
      <c r="U14" s="99">
        <v>0.51813471502590669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v>0</v>
      </c>
      <c r="AB14" s="99">
        <v>0</v>
      </c>
      <c r="AC14" s="101">
        <v>0</v>
      </c>
      <c r="AD14" s="101">
        <v>0</v>
      </c>
      <c r="AE14" s="101">
        <v>5</v>
      </c>
    </row>
    <row r="15" spans="1:31" s="131" customFormat="1" ht="14.4" thickBot="1" x14ac:dyDescent="0.3">
      <c r="A15" s="89" t="s">
        <v>5</v>
      </c>
      <c r="B15" s="97">
        <v>88</v>
      </c>
      <c r="C15" s="97">
        <v>31</v>
      </c>
      <c r="D15" s="97">
        <v>181</v>
      </c>
      <c r="E15" s="97">
        <v>190</v>
      </c>
      <c r="F15" s="97">
        <v>63</v>
      </c>
      <c r="G15" s="98">
        <f t="shared" si="6"/>
        <v>553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f t="shared" ref="M15:M25" si="7">SUM(H15:L15)</f>
        <v>0</v>
      </c>
      <c r="N15" s="99">
        <f t="shared" si="3"/>
        <v>0</v>
      </c>
      <c r="O15" s="97">
        <v>0</v>
      </c>
      <c r="P15" s="97">
        <v>0</v>
      </c>
      <c r="Q15" s="97">
        <v>3</v>
      </c>
      <c r="R15" s="97">
        <v>2</v>
      </c>
      <c r="S15" s="97">
        <v>0</v>
      </c>
      <c r="T15" s="97">
        <f t="shared" ref="T15:T23" si="8">SUM(O15:S15)</f>
        <v>5</v>
      </c>
      <c r="U15" s="99">
        <v>0.9041591320072333</v>
      </c>
      <c r="V15" s="97">
        <v>0</v>
      </c>
      <c r="W15" s="97">
        <v>0</v>
      </c>
      <c r="X15" s="97">
        <v>0</v>
      </c>
      <c r="Y15" s="97">
        <v>3</v>
      </c>
      <c r="Z15" s="97">
        <v>1</v>
      </c>
      <c r="AA15" s="97">
        <v>4</v>
      </c>
      <c r="AB15" s="99">
        <v>0.72332730560578662</v>
      </c>
      <c r="AC15" s="101">
        <v>0</v>
      </c>
      <c r="AD15" s="101">
        <v>0</v>
      </c>
      <c r="AE15" s="101">
        <v>27</v>
      </c>
    </row>
    <row r="16" spans="1:31" s="131" customFormat="1" ht="14.4" thickBot="1" x14ac:dyDescent="0.3">
      <c r="A16" s="89" t="s">
        <v>6</v>
      </c>
      <c r="B16" s="109">
        <v>48</v>
      </c>
      <c r="C16" s="97">
        <v>26</v>
      </c>
      <c r="D16" s="97">
        <v>58</v>
      </c>
      <c r="E16" s="97">
        <v>61</v>
      </c>
      <c r="F16" s="97">
        <v>36</v>
      </c>
      <c r="G16" s="98">
        <f t="shared" si="6"/>
        <v>229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f t="shared" si="7"/>
        <v>0</v>
      </c>
      <c r="N16" s="99">
        <f t="shared" si="3"/>
        <v>0</v>
      </c>
      <c r="O16" s="97">
        <v>0</v>
      </c>
      <c r="P16" s="97">
        <v>0</v>
      </c>
      <c r="Q16" s="97">
        <v>2</v>
      </c>
      <c r="R16" s="97">
        <v>0</v>
      </c>
      <c r="S16" s="97">
        <v>0</v>
      </c>
      <c r="T16" s="97">
        <f t="shared" si="8"/>
        <v>2</v>
      </c>
      <c r="U16" s="99">
        <v>0.8733624454148472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9">
        <v>0</v>
      </c>
      <c r="AC16" s="101">
        <v>0</v>
      </c>
      <c r="AD16" s="101">
        <v>0</v>
      </c>
      <c r="AE16" s="101">
        <v>11</v>
      </c>
    </row>
    <row r="17" spans="1:31" s="131" customFormat="1" ht="14.4" thickBot="1" x14ac:dyDescent="0.3">
      <c r="A17" s="89" t="s">
        <v>7</v>
      </c>
      <c r="B17" s="97">
        <v>69</v>
      </c>
      <c r="C17" s="97">
        <v>21</v>
      </c>
      <c r="D17" s="97">
        <v>45</v>
      </c>
      <c r="E17" s="97">
        <v>32</v>
      </c>
      <c r="F17" s="97">
        <v>22</v>
      </c>
      <c r="G17" s="98">
        <f t="shared" si="6"/>
        <v>189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f t="shared" si="7"/>
        <v>0</v>
      </c>
      <c r="N17" s="99">
        <f t="shared" si="3"/>
        <v>0</v>
      </c>
      <c r="O17" s="97">
        <v>1</v>
      </c>
      <c r="P17" s="97">
        <v>0</v>
      </c>
      <c r="Q17" s="97">
        <v>0</v>
      </c>
      <c r="R17" s="97">
        <v>0</v>
      </c>
      <c r="S17" s="97">
        <v>0</v>
      </c>
      <c r="T17" s="97">
        <f t="shared" si="8"/>
        <v>1</v>
      </c>
      <c r="U17" s="99">
        <v>0.52910052910052907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101">
        <v>0</v>
      </c>
      <c r="AB17" s="99">
        <v>0</v>
      </c>
      <c r="AC17" s="101">
        <v>0</v>
      </c>
      <c r="AD17" s="101">
        <v>0</v>
      </c>
      <c r="AE17" s="101">
        <v>0</v>
      </c>
    </row>
    <row r="18" spans="1:31" s="131" customFormat="1" ht="14.4" thickBot="1" x14ac:dyDescent="0.3">
      <c r="A18" s="89" t="s">
        <v>8</v>
      </c>
      <c r="B18" s="97">
        <v>7</v>
      </c>
      <c r="C18" s="97">
        <v>2</v>
      </c>
      <c r="D18" s="97">
        <v>8</v>
      </c>
      <c r="E18" s="97">
        <v>12</v>
      </c>
      <c r="F18" s="97">
        <v>2</v>
      </c>
      <c r="G18" s="98">
        <f t="shared" si="6"/>
        <v>31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 t="shared" si="7"/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f t="shared" si="8"/>
        <v>0</v>
      </c>
      <c r="U18" s="99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9">
        <v>0</v>
      </c>
      <c r="AC18" s="101">
        <v>0</v>
      </c>
      <c r="AD18" s="101">
        <v>0</v>
      </c>
      <c r="AE18" s="101">
        <v>4</v>
      </c>
    </row>
    <row r="19" spans="1:31" s="131" customFormat="1" ht="14.4" thickBot="1" x14ac:dyDescent="0.3">
      <c r="A19" s="89" t="s">
        <v>9</v>
      </c>
      <c r="B19" s="97">
        <v>29</v>
      </c>
      <c r="C19" s="97">
        <v>13</v>
      </c>
      <c r="D19" s="97">
        <v>42</v>
      </c>
      <c r="E19" s="97">
        <v>37</v>
      </c>
      <c r="F19" s="97">
        <v>15</v>
      </c>
      <c r="G19" s="98">
        <f t="shared" si="6"/>
        <v>136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f t="shared" si="7"/>
        <v>0</v>
      </c>
      <c r="N19" s="99">
        <f t="shared" si="3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f t="shared" si="8"/>
        <v>0</v>
      </c>
      <c r="U19" s="99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v>0</v>
      </c>
      <c r="AB19" s="99">
        <v>0</v>
      </c>
      <c r="AC19" s="101">
        <v>0</v>
      </c>
      <c r="AD19" s="101">
        <v>0</v>
      </c>
      <c r="AE19" s="101">
        <v>3</v>
      </c>
    </row>
    <row r="20" spans="1:31" s="131" customFormat="1" ht="14.4" thickBot="1" x14ac:dyDescent="0.3">
      <c r="A20" s="89" t="s">
        <v>10</v>
      </c>
      <c r="B20" s="97">
        <v>9</v>
      </c>
      <c r="C20" s="97">
        <v>5</v>
      </c>
      <c r="D20" s="97">
        <v>12</v>
      </c>
      <c r="E20" s="97">
        <v>23</v>
      </c>
      <c r="F20" s="97">
        <v>3</v>
      </c>
      <c r="G20" s="98">
        <f t="shared" si="6"/>
        <v>52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f t="shared" si="7"/>
        <v>0</v>
      </c>
      <c r="N20" s="99">
        <f t="shared" si="3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f t="shared" si="8"/>
        <v>0</v>
      </c>
      <c r="U20" s="99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v>0</v>
      </c>
      <c r="AB20" s="99">
        <v>0</v>
      </c>
      <c r="AC20" s="101">
        <v>0</v>
      </c>
      <c r="AD20" s="101">
        <v>0</v>
      </c>
      <c r="AE20" s="101">
        <v>0</v>
      </c>
    </row>
    <row r="21" spans="1:31" s="131" customFormat="1" ht="14.4" thickBot="1" x14ac:dyDescent="0.3">
      <c r="A21" s="89" t="s">
        <v>11</v>
      </c>
      <c r="B21" s="97">
        <v>50</v>
      </c>
      <c r="C21" s="97">
        <v>12</v>
      </c>
      <c r="D21" s="97">
        <v>74</v>
      </c>
      <c r="E21" s="97">
        <v>97</v>
      </c>
      <c r="F21" s="97">
        <v>29</v>
      </c>
      <c r="G21" s="98">
        <f t="shared" si="6"/>
        <v>262</v>
      </c>
      <c r="H21" s="97">
        <v>0</v>
      </c>
      <c r="I21" s="97">
        <v>0</v>
      </c>
      <c r="J21" s="97">
        <v>0</v>
      </c>
      <c r="K21" s="97">
        <v>1</v>
      </c>
      <c r="L21" s="97">
        <v>0</v>
      </c>
      <c r="M21" s="97">
        <f t="shared" si="7"/>
        <v>1</v>
      </c>
      <c r="N21" s="99">
        <f t="shared" si="3"/>
        <v>0.38167938931297712</v>
      </c>
      <c r="O21" s="97">
        <v>0</v>
      </c>
      <c r="P21" s="97">
        <v>0</v>
      </c>
      <c r="Q21" s="97">
        <v>1</v>
      </c>
      <c r="R21" s="97">
        <v>0</v>
      </c>
      <c r="S21" s="97">
        <v>0</v>
      </c>
      <c r="T21" s="97">
        <f t="shared" si="8"/>
        <v>1</v>
      </c>
      <c r="U21" s="99">
        <v>0.38167938931297712</v>
      </c>
      <c r="V21" s="97">
        <v>0</v>
      </c>
      <c r="W21" s="97">
        <v>0</v>
      </c>
      <c r="X21" s="97">
        <v>2</v>
      </c>
      <c r="Y21" s="97">
        <v>2</v>
      </c>
      <c r="Z21" s="97">
        <v>0</v>
      </c>
      <c r="AA21" s="97">
        <v>4</v>
      </c>
      <c r="AB21" s="99">
        <v>1.5267175572519085</v>
      </c>
      <c r="AC21" s="101">
        <v>0</v>
      </c>
      <c r="AD21" s="101">
        <v>0</v>
      </c>
      <c r="AE21" s="101">
        <v>17</v>
      </c>
    </row>
    <row r="22" spans="1:31" s="131" customFormat="1" ht="14.4" thickBot="1" x14ac:dyDescent="0.3">
      <c r="A22" s="89" t="s">
        <v>12</v>
      </c>
      <c r="B22" s="97">
        <v>1685</v>
      </c>
      <c r="C22" s="97">
        <v>868</v>
      </c>
      <c r="D22" s="97">
        <v>3157</v>
      </c>
      <c r="E22" s="97">
        <v>2444</v>
      </c>
      <c r="F22" s="97">
        <v>1110</v>
      </c>
      <c r="G22" s="98">
        <f t="shared" si="6"/>
        <v>9264</v>
      </c>
      <c r="H22" s="97">
        <v>7</v>
      </c>
      <c r="I22" s="97">
        <v>2</v>
      </c>
      <c r="J22" s="97">
        <v>9</v>
      </c>
      <c r="K22" s="97">
        <v>9</v>
      </c>
      <c r="L22" s="97">
        <v>1</v>
      </c>
      <c r="M22" s="97">
        <f t="shared" si="7"/>
        <v>28</v>
      </c>
      <c r="N22" s="99">
        <f t="shared" si="3"/>
        <v>0.30224525043177891</v>
      </c>
      <c r="O22" s="97">
        <v>6</v>
      </c>
      <c r="P22" s="97">
        <v>4</v>
      </c>
      <c r="Q22" s="97">
        <v>34</v>
      </c>
      <c r="R22" s="97">
        <v>7</v>
      </c>
      <c r="S22" s="97">
        <v>3</v>
      </c>
      <c r="T22" s="97">
        <f t="shared" si="8"/>
        <v>54</v>
      </c>
      <c r="U22" s="99">
        <v>0.58290155440414504</v>
      </c>
      <c r="V22" s="97">
        <v>4</v>
      </c>
      <c r="W22" s="97">
        <v>4</v>
      </c>
      <c r="X22" s="97">
        <v>72</v>
      </c>
      <c r="Y22" s="97">
        <v>11</v>
      </c>
      <c r="Z22" s="97">
        <v>1</v>
      </c>
      <c r="AA22" s="97">
        <v>92</v>
      </c>
      <c r="AB22" s="99">
        <v>0.99309153713298792</v>
      </c>
      <c r="AC22" s="101">
        <v>0</v>
      </c>
      <c r="AD22" s="101">
        <v>3</v>
      </c>
      <c r="AE22" s="101">
        <v>361</v>
      </c>
    </row>
    <row r="23" spans="1:31" s="131" customFormat="1" ht="14.4" thickBot="1" x14ac:dyDescent="0.3">
      <c r="A23" s="89" t="s">
        <v>13</v>
      </c>
      <c r="B23" s="97">
        <v>10</v>
      </c>
      <c r="C23" s="97">
        <v>3</v>
      </c>
      <c r="D23" s="97">
        <v>4</v>
      </c>
      <c r="E23" s="97">
        <v>6</v>
      </c>
      <c r="F23" s="97">
        <v>3</v>
      </c>
      <c r="G23" s="98">
        <f t="shared" si="6"/>
        <v>26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f t="shared" si="7"/>
        <v>0</v>
      </c>
      <c r="N23" s="99">
        <f t="shared" si="3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f t="shared" si="8"/>
        <v>1</v>
      </c>
      <c r="U23" s="99">
        <v>3.8461538461538463</v>
      </c>
      <c r="V23" s="97">
        <v>0</v>
      </c>
      <c r="W23" s="97">
        <v>0</v>
      </c>
      <c r="X23" s="97">
        <v>0</v>
      </c>
      <c r="Y23" s="97">
        <v>1</v>
      </c>
      <c r="Z23" s="97">
        <v>0</v>
      </c>
      <c r="AA23" s="97">
        <v>1</v>
      </c>
      <c r="AB23" s="99">
        <v>3.8461538461538463</v>
      </c>
      <c r="AC23" s="101">
        <v>0</v>
      </c>
      <c r="AD23" s="101">
        <v>0</v>
      </c>
      <c r="AE23" s="101">
        <v>4</v>
      </c>
    </row>
    <row r="24" spans="1:31" s="131" customFormat="1" ht="23.4" thickBot="1" x14ac:dyDescent="0.3">
      <c r="A24" s="139" t="s">
        <v>23</v>
      </c>
      <c r="B24" s="110">
        <v>319</v>
      </c>
      <c r="C24" s="110">
        <v>59</v>
      </c>
      <c r="D24" s="97">
        <v>0</v>
      </c>
      <c r="E24" s="110">
        <v>380</v>
      </c>
      <c r="F24" s="97">
        <v>200</v>
      </c>
      <c r="G24" s="98">
        <f t="shared" si="6"/>
        <v>958</v>
      </c>
      <c r="H24" s="110">
        <v>0</v>
      </c>
      <c r="I24" s="97">
        <v>0</v>
      </c>
      <c r="J24" s="97">
        <v>0</v>
      </c>
      <c r="K24" s="97">
        <v>0</v>
      </c>
      <c r="L24" s="97">
        <v>0</v>
      </c>
      <c r="M24" s="97">
        <f t="shared" si="7"/>
        <v>0</v>
      </c>
      <c r="N24" s="99">
        <f t="shared" si="3"/>
        <v>0</v>
      </c>
      <c r="O24" s="110">
        <v>0</v>
      </c>
      <c r="P24" s="97">
        <v>0</v>
      </c>
      <c r="Q24" s="110">
        <v>0</v>
      </c>
      <c r="R24" s="110">
        <v>0</v>
      </c>
      <c r="S24" s="97">
        <v>0</v>
      </c>
      <c r="T24" s="97">
        <f>SUM(O24:S24)</f>
        <v>0</v>
      </c>
      <c r="U24" s="99">
        <v>0</v>
      </c>
      <c r="V24" s="110">
        <v>1</v>
      </c>
      <c r="W24" s="110">
        <v>0</v>
      </c>
      <c r="X24" s="110">
        <v>0</v>
      </c>
      <c r="Y24" s="110">
        <v>0</v>
      </c>
      <c r="Z24" s="110">
        <v>0</v>
      </c>
      <c r="AA24" s="97">
        <v>1</v>
      </c>
      <c r="AB24" s="99">
        <v>0.10438413361169102</v>
      </c>
      <c r="AC24" s="101">
        <v>0</v>
      </c>
      <c r="AD24" s="101">
        <v>0</v>
      </c>
      <c r="AE24" s="101">
        <v>8</v>
      </c>
    </row>
    <row r="25" spans="1:31" s="132" customFormat="1" ht="14.4" thickBot="1" x14ac:dyDescent="0.3">
      <c r="A25" s="128" t="s">
        <v>22</v>
      </c>
      <c r="B25" s="111">
        <f>SUM(B14:B24)</f>
        <v>2370</v>
      </c>
      <c r="C25" s="111">
        <f>SUM(C14:C24)</f>
        <v>1046</v>
      </c>
      <c r="D25" s="111">
        <f>SUM(D14:D24)</f>
        <v>3663</v>
      </c>
      <c r="E25" s="111">
        <f>SUM(E14:E24)</f>
        <v>3307</v>
      </c>
      <c r="F25" s="111">
        <f>SUM(F14:F24)</f>
        <v>1507</v>
      </c>
      <c r="G25" s="102">
        <f t="shared" si="6"/>
        <v>11893</v>
      </c>
      <c r="H25" s="111">
        <f>SUM(H14:H24)</f>
        <v>7</v>
      </c>
      <c r="I25" s="111">
        <f>SUM(I14:I24)</f>
        <v>2</v>
      </c>
      <c r="J25" s="111">
        <f>SUM(J14:J24)</f>
        <v>9</v>
      </c>
      <c r="K25" s="111">
        <f>SUM(K14:K24)</f>
        <v>11</v>
      </c>
      <c r="L25" s="111">
        <f>SUM(L14:L24)</f>
        <v>1</v>
      </c>
      <c r="M25" s="103">
        <f t="shared" si="7"/>
        <v>30</v>
      </c>
      <c r="N25" s="104">
        <f t="shared" si="3"/>
        <v>0.25224922223156476</v>
      </c>
      <c r="O25" s="111">
        <f>SUM(O17:O24)</f>
        <v>8</v>
      </c>
      <c r="P25" s="111">
        <f>SUM(P14:P24)</f>
        <v>4</v>
      </c>
      <c r="Q25" s="111">
        <f>SUM(Q14:Q24)</f>
        <v>40</v>
      </c>
      <c r="R25" s="111">
        <f>SUM(R14:R24)</f>
        <v>10</v>
      </c>
      <c r="S25" s="111">
        <f>SUM(S14:S24)</f>
        <v>3</v>
      </c>
      <c r="T25" s="103">
        <f>SUM(O25:S25)</f>
        <v>65</v>
      </c>
      <c r="U25" s="104">
        <v>0.54653998150172367</v>
      </c>
      <c r="V25" s="111">
        <f>SUM(V17:V24)</f>
        <v>5</v>
      </c>
      <c r="W25" s="111">
        <f>SUM(W14:W24)</f>
        <v>4</v>
      </c>
      <c r="X25" s="111">
        <f>SUM(X14:X24)</f>
        <v>74</v>
      </c>
      <c r="Y25" s="111">
        <f>SUM(Y14:Y24)</f>
        <v>17</v>
      </c>
      <c r="Z25" s="111">
        <f>SUM(Z14:Z24)</f>
        <v>2</v>
      </c>
      <c r="AA25" s="103">
        <f>SUM(V25:Z25)</f>
        <v>102</v>
      </c>
      <c r="AB25" s="104">
        <v>0.8576473555873203</v>
      </c>
      <c r="AC25" s="107">
        <f>SUM(AC14:AC24)</f>
        <v>0</v>
      </c>
      <c r="AD25" s="107">
        <f t="shared" ref="AD25:AE25" si="9">SUM(AD14:AD24)</f>
        <v>3</v>
      </c>
      <c r="AE25" s="107">
        <f t="shared" si="9"/>
        <v>440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s="131" customFormat="1" ht="14.4" thickBot="1" x14ac:dyDescent="0.3">
      <c r="A28" s="89" t="s">
        <v>15</v>
      </c>
      <c r="B28" s="97">
        <v>2983</v>
      </c>
      <c r="C28" s="97">
        <v>1480</v>
      </c>
      <c r="D28" s="97">
        <v>3213</v>
      </c>
      <c r="E28" s="97">
        <v>3012</v>
      </c>
      <c r="F28" s="97">
        <v>3142</v>
      </c>
      <c r="G28" s="98">
        <f t="shared" ref="G28:G34" si="10">SUM(B28:F28)</f>
        <v>13830</v>
      </c>
      <c r="H28" s="97">
        <v>5</v>
      </c>
      <c r="I28" s="97">
        <v>0</v>
      </c>
      <c r="J28" s="97">
        <v>17</v>
      </c>
      <c r="K28" s="97">
        <v>0</v>
      </c>
      <c r="L28" s="97">
        <v>1</v>
      </c>
      <c r="M28" s="97">
        <f>SUM(H28:L28)</f>
        <v>23</v>
      </c>
      <c r="N28" s="99">
        <f t="shared" si="3"/>
        <v>0.16630513376717282</v>
      </c>
      <c r="O28" s="97">
        <v>8</v>
      </c>
      <c r="P28" s="97">
        <v>3</v>
      </c>
      <c r="Q28" s="97">
        <v>8</v>
      </c>
      <c r="R28" s="97">
        <v>1</v>
      </c>
      <c r="S28" s="97">
        <v>1</v>
      </c>
      <c r="T28" s="97">
        <f>SUM(O28:S28)</f>
        <v>21</v>
      </c>
      <c r="U28" s="99">
        <v>0.15184381778741865</v>
      </c>
      <c r="V28" s="97">
        <v>7</v>
      </c>
      <c r="W28" s="97">
        <v>2</v>
      </c>
      <c r="X28" s="97">
        <v>14</v>
      </c>
      <c r="Y28" s="97">
        <v>2</v>
      </c>
      <c r="Z28" s="97">
        <v>2</v>
      </c>
      <c r="AA28" s="97">
        <v>27</v>
      </c>
      <c r="AB28" s="99">
        <v>0.19522776572668113</v>
      </c>
      <c r="AC28" s="101">
        <v>0</v>
      </c>
      <c r="AD28" s="101">
        <v>2</v>
      </c>
      <c r="AE28" s="101">
        <v>93</v>
      </c>
    </row>
    <row r="29" spans="1:31" s="131" customFormat="1" ht="14.4" thickBot="1" x14ac:dyDescent="0.3">
      <c r="A29" s="89" t="s">
        <v>16</v>
      </c>
      <c r="B29" s="97">
        <v>1098</v>
      </c>
      <c r="C29" s="97">
        <v>745</v>
      </c>
      <c r="D29" s="97">
        <v>1910</v>
      </c>
      <c r="E29" s="97">
        <v>1601</v>
      </c>
      <c r="F29" s="97">
        <v>901</v>
      </c>
      <c r="G29" s="98">
        <f t="shared" si="10"/>
        <v>6255</v>
      </c>
      <c r="H29" s="97">
        <v>2</v>
      </c>
      <c r="I29" s="97">
        <v>1</v>
      </c>
      <c r="J29" s="97">
        <v>6</v>
      </c>
      <c r="K29" s="97">
        <v>7</v>
      </c>
      <c r="L29" s="97">
        <v>1</v>
      </c>
      <c r="M29" s="97">
        <f>SUM(H29:L29)</f>
        <v>17</v>
      </c>
      <c r="N29" s="99">
        <f t="shared" si="3"/>
        <v>0.27178257394084732</v>
      </c>
      <c r="O29" s="97">
        <v>5</v>
      </c>
      <c r="P29" s="97">
        <v>0</v>
      </c>
      <c r="Q29" s="97">
        <v>15</v>
      </c>
      <c r="R29" s="97">
        <v>2</v>
      </c>
      <c r="S29" s="97">
        <v>0</v>
      </c>
      <c r="T29" s="97">
        <f t="shared" ref="T29:T34" si="11">SUM(O29:S29)</f>
        <v>22</v>
      </c>
      <c r="U29" s="99">
        <v>0.35171862509992008</v>
      </c>
      <c r="V29" s="97">
        <v>4</v>
      </c>
      <c r="W29" s="97">
        <v>2</v>
      </c>
      <c r="X29" s="97">
        <v>10</v>
      </c>
      <c r="Y29" s="97">
        <v>4</v>
      </c>
      <c r="Z29" s="97">
        <v>0</v>
      </c>
      <c r="AA29" s="97">
        <v>20</v>
      </c>
      <c r="AB29" s="99">
        <v>0.31974420463629094</v>
      </c>
      <c r="AC29" s="101">
        <v>0</v>
      </c>
      <c r="AD29" s="101">
        <v>0</v>
      </c>
      <c r="AE29" s="101">
        <v>116</v>
      </c>
    </row>
    <row r="30" spans="1:31" s="131" customFormat="1" ht="14.4" thickBot="1" x14ac:dyDescent="0.3">
      <c r="A30" s="89" t="s">
        <v>34</v>
      </c>
      <c r="B30" s="97">
        <v>913</v>
      </c>
      <c r="C30" s="97">
        <v>502</v>
      </c>
      <c r="D30" s="97">
        <v>925</v>
      </c>
      <c r="E30" s="97">
        <v>900</v>
      </c>
      <c r="F30" s="97">
        <v>1082</v>
      </c>
      <c r="G30" s="98">
        <f t="shared" si="10"/>
        <v>4322</v>
      </c>
      <c r="H30" s="97">
        <v>3</v>
      </c>
      <c r="I30" s="97">
        <v>1</v>
      </c>
      <c r="J30" s="97">
        <v>2</v>
      </c>
      <c r="K30" s="97">
        <v>0</v>
      </c>
      <c r="L30" s="97">
        <v>0</v>
      </c>
      <c r="M30" s="97">
        <f t="shared" ref="M30:M37" si="12">SUM(H30:L30)</f>
        <v>6</v>
      </c>
      <c r="N30" s="99">
        <f t="shared" si="3"/>
        <v>0.13882461823229986</v>
      </c>
      <c r="O30" s="97">
        <v>10</v>
      </c>
      <c r="P30" s="97">
        <v>1</v>
      </c>
      <c r="Q30" s="97">
        <v>8</v>
      </c>
      <c r="R30" s="97">
        <v>3</v>
      </c>
      <c r="S30" s="97">
        <v>1</v>
      </c>
      <c r="T30" s="97">
        <f t="shared" si="11"/>
        <v>23</v>
      </c>
      <c r="U30" s="99">
        <v>0.53216103655714941</v>
      </c>
      <c r="V30" s="97"/>
      <c r="W30" s="97"/>
      <c r="X30" s="97">
        <v>10</v>
      </c>
      <c r="Y30" s="97">
        <v>1</v>
      </c>
      <c r="Z30" s="97">
        <v>1</v>
      </c>
      <c r="AA30" s="97">
        <v>12</v>
      </c>
      <c r="AB30" s="99">
        <v>0.27764923646459971</v>
      </c>
      <c r="AC30" s="101">
        <v>0</v>
      </c>
      <c r="AD30" s="101">
        <v>0</v>
      </c>
      <c r="AE30" s="101">
        <v>45</v>
      </c>
    </row>
    <row r="31" spans="1:31" s="131" customFormat="1" ht="14.4" thickBot="1" x14ac:dyDescent="0.3">
      <c r="A31" s="89" t="s">
        <v>17</v>
      </c>
      <c r="B31" s="97">
        <v>5962</v>
      </c>
      <c r="C31" s="97">
        <v>3612</v>
      </c>
      <c r="D31" s="97">
        <v>8185</v>
      </c>
      <c r="E31" s="97">
        <v>6969</v>
      </c>
      <c r="F31" s="97">
        <v>4686</v>
      </c>
      <c r="G31" s="98">
        <f t="shared" si="10"/>
        <v>29414</v>
      </c>
      <c r="H31" s="97">
        <v>5</v>
      </c>
      <c r="I31" s="97">
        <v>8</v>
      </c>
      <c r="J31" s="97">
        <v>8</v>
      </c>
      <c r="K31" s="97">
        <v>2</v>
      </c>
      <c r="L31" s="97">
        <v>1</v>
      </c>
      <c r="M31" s="97">
        <f t="shared" si="12"/>
        <v>24</v>
      </c>
      <c r="N31" s="99">
        <f t="shared" si="3"/>
        <v>8.1593798871285789E-2</v>
      </c>
      <c r="O31" s="97">
        <v>10</v>
      </c>
      <c r="P31" s="97">
        <v>10</v>
      </c>
      <c r="Q31" s="97">
        <v>22</v>
      </c>
      <c r="R31" s="97">
        <v>8</v>
      </c>
      <c r="S31" s="97">
        <v>6</v>
      </c>
      <c r="T31" s="97">
        <f t="shared" si="11"/>
        <v>56</v>
      </c>
      <c r="U31" s="99">
        <v>0.19038553069966682</v>
      </c>
      <c r="V31" s="97">
        <v>16</v>
      </c>
      <c r="W31" s="97">
        <v>8</v>
      </c>
      <c r="X31" s="97">
        <v>39</v>
      </c>
      <c r="Y31" s="97">
        <v>12</v>
      </c>
      <c r="Z31" s="97">
        <v>1</v>
      </c>
      <c r="AA31" s="97">
        <v>76</v>
      </c>
      <c r="AB31" s="99">
        <v>0.25838036309240497</v>
      </c>
      <c r="AC31" s="101">
        <v>0</v>
      </c>
      <c r="AD31" s="101">
        <v>0</v>
      </c>
      <c r="AE31" s="101">
        <v>328</v>
      </c>
    </row>
    <row r="32" spans="1:31" s="131" customFormat="1" ht="14.4" thickBot="1" x14ac:dyDescent="0.3">
      <c r="A32" s="89" t="s">
        <v>18</v>
      </c>
      <c r="B32" s="97">
        <v>2232</v>
      </c>
      <c r="C32" s="97">
        <v>1239</v>
      </c>
      <c r="D32" s="97">
        <v>1878</v>
      </c>
      <c r="E32" s="97">
        <v>1798</v>
      </c>
      <c r="F32" s="97">
        <v>3064</v>
      </c>
      <c r="G32" s="98">
        <f t="shared" si="10"/>
        <v>10211</v>
      </c>
      <c r="H32" s="97">
        <v>7</v>
      </c>
      <c r="I32" s="97">
        <v>1</v>
      </c>
      <c r="J32" s="97">
        <v>2</v>
      </c>
      <c r="K32" s="97">
        <v>12</v>
      </c>
      <c r="L32" s="97">
        <v>1</v>
      </c>
      <c r="M32" s="97">
        <f t="shared" si="12"/>
        <v>23</v>
      </c>
      <c r="N32" s="99">
        <f t="shared" si="3"/>
        <v>0.22524728234257174</v>
      </c>
      <c r="O32" s="97">
        <v>5</v>
      </c>
      <c r="P32" s="97">
        <v>5</v>
      </c>
      <c r="Q32" s="97">
        <v>8</v>
      </c>
      <c r="R32" s="97">
        <v>7</v>
      </c>
      <c r="S32" s="97">
        <v>4</v>
      </c>
      <c r="T32" s="97">
        <f t="shared" si="11"/>
        <v>29</v>
      </c>
      <c r="U32" s="99">
        <v>0.28400744295367741</v>
      </c>
      <c r="V32" s="97">
        <v>2</v>
      </c>
      <c r="W32" s="97">
        <v>2</v>
      </c>
      <c r="X32" s="97">
        <v>15</v>
      </c>
      <c r="Y32" s="97">
        <v>1</v>
      </c>
      <c r="Z32" s="97">
        <v>2</v>
      </c>
      <c r="AA32" s="97">
        <v>22</v>
      </c>
      <c r="AB32" s="99">
        <v>0.2154539222407208</v>
      </c>
      <c r="AC32" s="101">
        <v>0</v>
      </c>
      <c r="AD32" s="101">
        <v>0</v>
      </c>
      <c r="AE32" s="101">
        <v>76</v>
      </c>
    </row>
    <row r="33" spans="1:31" s="131" customFormat="1" ht="14.4" thickBot="1" x14ac:dyDescent="0.3">
      <c r="A33" s="89" t="s">
        <v>19</v>
      </c>
      <c r="B33" s="97">
        <v>9246</v>
      </c>
      <c r="C33" s="97">
        <v>5517</v>
      </c>
      <c r="D33" s="97">
        <v>11932</v>
      </c>
      <c r="E33" s="97">
        <v>10167</v>
      </c>
      <c r="F33" s="97">
        <v>5609</v>
      </c>
      <c r="G33" s="98">
        <f t="shared" si="10"/>
        <v>42471</v>
      </c>
      <c r="H33" s="97">
        <v>32</v>
      </c>
      <c r="I33" s="97">
        <v>18</v>
      </c>
      <c r="J33" s="97">
        <v>54</v>
      </c>
      <c r="K33" s="97">
        <v>33</v>
      </c>
      <c r="L33" s="97">
        <v>3</v>
      </c>
      <c r="M33" s="97">
        <f t="shared" si="12"/>
        <v>140</v>
      </c>
      <c r="N33" s="99">
        <f t="shared" si="3"/>
        <v>0.32963669327305689</v>
      </c>
      <c r="O33" s="97">
        <v>48</v>
      </c>
      <c r="P33" s="97">
        <v>35</v>
      </c>
      <c r="Q33" s="97">
        <v>112</v>
      </c>
      <c r="R33" s="97">
        <v>34</v>
      </c>
      <c r="S33" s="97">
        <v>30</v>
      </c>
      <c r="T33" s="97">
        <f t="shared" si="11"/>
        <v>259</v>
      </c>
      <c r="U33" s="99">
        <v>0.6098278825551553</v>
      </c>
      <c r="V33" s="97">
        <v>40</v>
      </c>
      <c r="W33" s="97">
        <v>40</v>
      </c>
      <c r="X33" s="97">
        <v>86</v>
      </c>
      <c r="Y33" s="97">
        <v>43</v>
      </c>
      <c r="Z33" s="97">
        <v>2</v>
      </c>
      <c r="AA33" s="97">
        <v>211</v>
      </c>
      <c r="AB33" s="99">
        <v>0.49680958771867861</v>
      </c>
      <c r="AC33" s="101">
        <v>0</v>
      </c>
      <c r="AD33" s="101">
        <v>4</v>
      </c>
      <c r="AE33" s="101">
        <v>749</v>
      </c>
    </row>
    <row r="34" spans="1:31" s="131" customFormat="1" ht="14.4" thickBot="1" x14ac:dyDescent="0.3">
      <c r="A34" s="89" t="s">
        <v>20</v>
      </c>
      <c r="B34" s="97">
        <v>5442</v>
      </c>
      <c r="C34" s="97">
        <v>3534</v>
      </c>
      <c r="D34" s="97">
        <v>8238</v>
      </c>
      <c r="E34" s="97">
        <v>7812</v>
      </c>
      <c r="F34" s="97">
        <v>3711</v>
      </c>
      <c r="G34" s="98">
        <f t="shared" si="10"/>
        <v>28737</v>
      </c>
      <c r="H34" s="97">
        <v>21</v>
      </c>
      <c r="I34" s="97">
        <v>6</v>
      </c>
      <c r="J34" s="97">
        <v>22</v>
      </c>
      <c r="K34" s="97">
        <v>12</v>
      </c>
      <c r="L34" s="97">
        <v>2</v>
      </c>
      <c r="M34" s="97">
        <f t="shared" si="12"/>
        <v>63</v>
      </c>
      <c r="N34" s="99">
        <f t="shared" si="3"/>
        <v>0.21922956467272159</v>
      </c>
      <c r="O34" s="97">
        <v>27</v>
      </c>
      <c r="P34" s="97">
        <v>8</v>
      </c>
      <c r="Q34" s="97">
        <v>37</v>
      </c>
      <c r="R34" s="97">
        <v>27</v>
      </c>
      <c r="S34" s="97">
        <v>5</v>
      </c>
      <c r="T34" s="97">
        <f t="shared" si="11"/>
        <v>104</v>
      </c>
      <c r="U34" s="99">
        <v>0.36190277342798483</v>
      </c>
      <c r="V34" s="97">
        <v>7</v>
      </c>
      <c r="W34" s="97">
        <v>14</v>
      </c>
      <c r="X34" s="97">
        <v>51</v>
      </c>
      <c r="Y34" s="97">
        <v>30</v>
      </c>
      <c r="Z34" s="97">
        <v>2</v>
      </c>
      <c r="AA34" s="97">
        <v>104</v>
      </c>
      <c r="AB34" s="99">
        <v>0.36190277342798483</v>
      </c>
      <c r="AC34" s="101">
        <v>0</v>
      </c>
      <c r="AD34" s="101">
        <v>1</v>
      </c>
      <c r="AE34" s="101">
        <v>453</v>
      </c>
    </row>
    <row r="35" spans="1:31" s="131" customFormat="1" ht="14.4" thickBot="1" x14ac:dyDescent="0.3">
      <c r="A35" s="89" t="s">
        <v>25</v>
      </c>
      <c r="B35" s="97"/>
      <c r="C35" s="97"/>
      <c r="D35" s="97"/>
      <c r="E35" s="97"/>
      <c r="F35" s="97"/>
      <c r="G35" s="98"/>
      <c r="H35" s="97"/>
      <c r="I35" s="97"/>
      <c r="J35" s="97"/>
      <c r="K35" s="97"/>
      <c r="L35" s="97"/>
      <c r="M35" s="97"/>
      <c r="N35" s="99"/>
      <c r="O35" s="97"/>
      <c r="P35" s="97"/>
      <c r="Q35" s="97"/>
      <c r="R35" s="97"/>
      <c r="S35" s="97"/>
      <c r="T35" s="97"/>
      <c r="U35" s="99"/>
      <c r="V35" s="97"/>
      <c r="W35" s="97"/>
      <c r="X35" s="97"/>
      <c r="Y35" s="97"/>
      <c r="Z35" s="97"/>
      <c r="AA35" s="97"/>
      <c r="AB35" s="99"/>
      <c r="AC35" s="101">
        <v>0</v>
      </c>
      <c r="AD35" s="101"/>
      <c r="AE35" s="101"/>
    </row>
    <row r="36" spans="1:31" s="131" customFormat="1" ht="14.4" thickBot="1" x14ac:dyDescent="0.3">
      <c r="A36" s="89" t="s">
        <v>26</v>
      </c>
      <c r="B36" s="97">
        <v>48921</v>
      </c>
      <c r="C36" s="97">
        <v>32891</v>
      </c>
      <c r="D36" s="97">
        <v>67606</v>
      </c>
      <c r="E36" s="97">
        <v>67129</v>
      </c>
      <c r="F36" s="97">
        <v>37040</v>
      </c>
      <c r="G36" s="98">
        <f>SUM(B36:F36)</f>
        <v>253587</v>
      </c>
      <c r="H36" s="97">
        <v>86</v>
      </c>
      <c r="I36" s="97">
        <v>53</v>
      </c>
      <c r="J36" s="97">
        <v>136</v>
      </c>
      <c r="K36" s="97">
        <v>79</v>
      </c>
      <c r="L36" s="97">
        <v>25</v>
      </c>
      <c r="M36" s="97">
        <f t="shared" si="12"/>
        <v>379</v>
      </c>
      <c r="N36" s="99">
        <f t="shared" si="3"/>
        <v>0.14945561089488027</v>
      </c>
      <c r="O36" s="97">
        <v>160</v>
      </c>
      <c r="P36" s="97">
        <v>61</v>
      </c>
      <c r="Q36" s="97">
        <v>270</v>
      </c>
      <c r="R36" s="97">
        <v>149</v>
      </c>
      <c r="S36" s="97">
        <v>52</v>
      </c>
      <c r="T36" s="97">
        <f>SUM(O36:S36)</f>
        <v>692</v>
      </c>
      <c r="U36" s="99">
        <v>0.27288465102706366</v>
      </c>
      <c r="V36" s="97">
        <v>133</v>
      </c>
      <c r="W36" s="97">
        <v>68</v>
      </c>
      <c r="X36" s="97">
        <v>354</v>
      </c>
      <c r="Y36" s="97">
        <v>193</v>
      </c>
      <c r="Z36" s="97">
        <v>62</v>
      </c>
      <c r="AA36" s="97">
        <v>810</v>
      </c>
      <c r="AB36" s="99">
        <v>0.31941700481491558</v>
      </c>
      <c r="AC36" s="101">
        <v>0</v>
      </c>
      <c r="AD36" s="101">
        <v>6</v>
      </c>
      <c r="AE36" s="97">
        <v>3251</v>
      </c>
    </row>
    <row r="37" spans="1:31" s="132" customFormat="1" ht="14.4" thickBot="1" x14ac:dyDescent="0.3">
      <c r="A37" s="128" t="s">
        <v>21</v>
      </c>
      <c r="B37" s="111">
        <f>SUM(B28:B36)</f>
        <v>76797</v>
      </c>
      <c r="C37" s="111">
        <f>SUM(C28:C36)</f>
        <v>49520</v>
      </c>
      <c r="D37" s="111">
        <f>SUM(D28:D36)</f>
        <v>103887</v>
      </c>
      <c r="E37" s="111">
        <f>SUM(E28:E36)</f>
        <v>99388</v>
      </c>
      <c r="F37" s="111">
        <f>SUM(F28:F36)</f>
        <v>59235</v>
      </c>
      <c r="G37" s="102">
        <f>SUM(B37:F37)</f>
        <v>388827</v>
      </c>
      <c r="H37" s="111">
        <f>SUM(H28:H36)</f>
        <v>161</v>
      </c>
      <c r="I37" s="111">
        <f>SUM(I28:I36)</f>
        <v>88</v>
      </c>
      <c r="J37" s="111">
        <f>SUM(J28:J36)</f>
        <v>247</v>
      </c>
      <c r="K37" s="111">
        <f>SUM(K28:K36)</f>
        <v>145</v>
      </c>
      <c r="L37" s="111">
        <f>SUM(L28:L36)</f>
        <v>34</v>
      </c>
      <c r="M37" s="103">
        <f t="shared" si="12"/>
        <v>675</v>
      </c>
      <c r="N37" s="104">
        <f>M37*100/G37</f>
        <v>0.17359905562113742</v>
      </c>
      <c r="O37" s="111">
        <f t="shared" ref="O37:S37" si="13">SUM(O28:O36)</f>
        <v>273</v>
      </c>
      <c r="P37" s="111">
        <f t="shared" si="13"/>
        <v>123</v>
      </c>
      <c r="Q37" s="111">
        <f t="shared" si="13"/>
        <v>480</v>
      </c>
      <c r="R37" s="111">
        <f t="shared" si="13"/>
        <v>231</v>
      </c>
      <c r="S37" s="111">
        <f t="shared" si="13"/>
        <v>99</v>
      </c>
      <c r="T37" s="103">
        <f>SUM(T28:T36)</f>
        <v>1206</v>
      </c>
      <c r="U37" s="104">
        <v>0.31016364604309887</v>
      </c>
      <c r="V37" s="111">
        <f t="shared" ref="V37:Z37" si="14">SUM(V28:V36)</f>
        <v>209</v>
      </c>
      <c r="W37" s="111">
        <f t="shared" si="14"/>
        <v>136</v>
      </c>
      <c r="X37" s="111">
        <f t="shared" si="14"/>
        <v>579</v>
      </c>
      <c r="Y37" s="111">
        <f t="shared" si="14"/>
        <v>286</v>
      </c>
      <c r="Z37" s="111">
        <f t="shared" si="14"/>
        <v>72</v>
      </c>
      <c r="AA37" s="103">
        <f>SUM(AA28:AA36)</f>
        <v>1282</v>
      </c>
      <c r="AB37" s="104">
        <v>0.32970961378710839</v>
      </c>
      <c r="AC37" s="107">
        <f>SUM(AC28:AC36)</f>
        <v>0</v>
      </c>
      <c r="AD37" s="107">
        <f t="shared" ref="AD37:AE37" si="15">SUM(AD28:AD36)</f>
        <v>13</v>
      </c>
      <c r="AE37" s="107">
        <f t="shared" si="15"/>
        <v>5111</v>
      </c>
    </row>
    <row r="38" spans="1:31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1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1" s="131" customFormat="1" ht="14.4" thickBot="1" x14ac:dyDescent="0.3">
      <c r="A40" s="89" t="s">
        <v>40</v>
      </c>
      <c r="B40" s="97"/>
      <c r="C40" s="97"/>
      <c r="D40" s="97"/>
      <c r="E40" s="97"/>
      <c r="F40" s="97"/>
      <c r="G40" s="98"/>
      <c r="H40" s="97"/>
      <c r="I40" s="97"/>
      <c r="J40" s="97"/>
      <c r="K40" s="97"/>
      <c r="L40" s="120"/>
      <c r="M40" s="97"/>
      <c r="N40" s="99"/>
      <c r="O40" s="97"/>
      <c r="P40" s="97"/>
      <c r="Q40" s="97"/>
      <c r="R40" s="97"/>
      <c r="S40" s="97"/>
      <c r="T40" s="97"/>
      <c r="U40" s="99"/>
      <c r="V40" s="133"/>
      <c r="W40" s="133"/>
      <c r="X40" s="133"/>
      <c r="Y40" s="133"/>
      <c r="Z40" s="133"/>
      <c r="AA40" s="101"/>
      <c r="AB40" s="99"/>
      <c r="AC40" s="101"/>
      <c r="AD40" s="101"/>
      <c r="AE40" s="101"/>
    </row>
    <row r="41" spans="1:31" s="131" customFormat="1" ht="14.4" thickBot="1" x14ac:dyDescent="0.3">
      <c r="A41" s="89" t="s">
        <v>27</v>
      </c>
      <c r="B41" s="97">
        <v>49382</v>
      </c>
      <c r="C41" s="97">
        <v>38536</v>
      </c>
      <c r="D41" s="109">
        <v>55854</v>
      </c>
      <c r="E41" s="97">
        <v>55288</v>
      </c>
      <c r="F41" s="97">
        <v>47258</v>
      </c>
      <c r="G41" s="98">
        <f>SUM(B41:F41)</f>
        <v>246318</v>
      </c>
      <c r="H41" s="97">
        <v>25</v>
      </c>
      <c r="I41" s="97">
        <v>18</v>
      </c>
      <c r="J41" s="97">
        <v>14</v>
      </c>
      <c r="K41" s="97">
        <v>24</v>
      </c>
      <c r="L41" s="97">
        <v>6</v>
      </c>
      <c r="M41" s="97">
        <f>SUM(H41:L41)</f>
        <v>87</v>
      </c>
      <c r="N41" s="99">
        <f t="shared" si="3"/>
        <v>3.5320195844396267E-2</v>
      </c>
      <c r="O41" s="97">
        <v>27</v>
      </c>
      <c r="P41" s="97">
        <v>19</v>
      </c>
      <c r="Q41" s="97">
        <v>19</v>
      </c>
      <c r="R41" s="97">
        <v>18</v>
      </c>
      <c r="S41" s="97">
        <v>8</v>
      </c>
      <c r="T41" s="97">
        <f>SUM(O41:S41)</f>
        <v>91</v>
      </c>
      <c r="U41" s="99">
        <v>3.6944112894713339E-2</v>
      </c>
      <c r="V41" s="109">
        <v>147</v>
      </c>
      <c r="W41" s="109">
        <v>32</v>
      </c>
      <c r="X41" s="133">
        <v>92</v>
      </c>
      <c r="Y41" s="133">
        <v>70</v>
      </c>
      <c r="Z41" s="133">
        <v>49</v>
      </c>
      <c r="AA41" s="97">
        <v>390</v>
      </c>
      <c r="AB41" s="99">
        <v>0.15833191240591429</v>
      </c>
      <c r="AC41" s="101">
        <v>461</v>
      </c>
      <c r="AD41" s="101">
        <v>2</v>
      </c>
      <c r="AE41" s="101">
        <v>232</v>
      </c>
    </row>
    <row r="42" spans="1:31" s="132" customFormat="1" ht="14.4" thickBot="1" x14ac:dyDescent="0.3">
      <c r="A42" s="128" t="s">
        <v>21</v>
      </c>
      <c r="B42" s="111">
        <f>SUM(B40:B41)</f>
        <v>49382</v>
      </c>
      <c r="C42" s="111">
        <f t="shared" ref="C42:F42" si="16">SUM(C40:C41)</f>
        <v>38536</v>
      </c>
      <c r="D42" s="111">
        <f t="shared" si="16"/>
        <v>55854</v>
      </c>
      <c r="E42" s="111">
        <f t="shared" si="16"/>
        <v>55288</v>
      </c>
      <c r="F42" s="111">
        <f t="shared" si="16"/>
        <v>47258</v>
      </c>
      <c r="G42" s="102">
        <f>SUM(G40:G41)</f>
        <v>246318</v>
      </c>
      <c r="H42" s="111">
        <f>SUM(H40:H41)</f>
        <v>25</v>
      </c>
      <c r="I42" s="111">
        <f t="shared" ref="I42:M42" si="17">SUM(I40:I41)</f>
        <v>18</v>
      </c>
      <c r="J42" s="111">
        <f t="shared" si="17"/>
        <v>14</v>
      </c>
      <c r="K42" s="111">
        <f t="shared" si="17"/>
        <v>24</v>
      </c>
      <c r="L42" s="111">
        <f t="shared" si="17"/>
        <v>6</v>
      </c>
      <c r="M42" s="103">
        <f t="shared" si="17"/>
        <v>87</v>
      </c>
      <c r="N42" s="104">
        <f>M42*100/$G$42</f>
        <v>3.5320195844396267E-2</v>
      </c>
      <c r="O42" s="111">
        <f>SUM(O40:O41)</f>
        <v>27</v>
      </c>
      <c r="P42" s="111">
        <f t="shared" ref="P42:S42" si="18">SUM(P40:P41)</f>
        <v>19</v>
      </c>
      <c r="Q42" s="111">
        <f t="shared" si="18"/>
        <v>19</v>
      </c>
      <c r="R42" s="111">
        <f t="shared" si="18"/>
        <v>18</v>
      </c>
      <c r="S42" s="111">
        <f t="shared" si="18"/>
        <v>8</v>
      </c>
      <c r="T42" s="103">
        <f t="shared" ref="T42" si="19">SUM(T40:T41)</f>
        <v>91</v>
      </c>
      <c r="U42" s="104">
        <f>T42*100/$G$42</f>
        <v>3.6944112894713339E-2</v>
      </c>
      <c r="V42" s="111">
        <f>SUM(V40:V41)</f>
        <v>147</v>
      </c>
      <c r="W42" s="111">
        <f t="shared" ref="W42:AA42" si="20">SUM(W40:W41)</f>
        <v>32</v>
      </c>
      <c r="X42" s="111">
        <f t="shared" si="20"/>
        <v>92</v>
      </c>
      <c r="Y42" s="111">
        <f t="shared" si="20"/>
        <v>70</v>
      </c>
      <c r="Z42" s="111">
        <f t="shared" si="20"/>
        <v>49</v>
      </c>
      <c r="AA42" s="103">
        <f t="shared" si="20"/>
        <v>390</v>
      </c>
      <c r="AB42" s="104">
        <f>AA42*100/$G$42</f>
        <v>0.15833191240591429</v>
      </c>
      <c r="AC42" s="107">
        <f>SUM(AC40:AC41)</f>
        <v>461</v>
      </c>
      <c r="AD42" s="107">
        <f t="shared" ref="AD42:AE42" si="21">SUM(AD40:AD41)</f>
        <v>2</v>
      </c>
      <c r="AE42" s="107">
        <f t="shared" si="21"/>
        <v>232</v>
      </c>
    </row>
    <row r="43" spans="1:31" s="131" customFormat="1" ht="16.2" thickBot="1" x14ac:dyDescent="0.3">
      <c r="A43" s="121" t="s">
        <v>48</v>
      </c>
      <c r="B43" s="138">
        <f>B11+B25+B37+B42</f>
        <v>131477</v>
      </c>
      <c r="C43" s="134">
        <f>C11+C25+C37+C42</f>
        <v>89957</v>
      </c>
      <c r="D43" s="138">
        <f>D11+D25+D37+D42</f>
        <v>167216</v>
      </c>
      <c r="E43" s="134">
        <f>SUM(B43:D43)</f>
        <v>388650</v>
      </c>
      <c r="F43" s="134">
        <f t="shared" ref="F43" si="22">F11+F25+F37+F42</f>
        <v>109560</v>
      </c>
      <c r="G43" s="122">
        <f>G11+G25+G37+G42</f>
        <v>658862</v>
      </c>
      <c r="H43" s="122">
        <f t="shared" ref="H43:AE43" si="23">H11+H25+H37+H42</f>
        <v>201</v>
      </c>
      <c r="I43" s="122">
        <f t="shared" si="23"/>
        <v>109</v>
      </c>
      <c r="J43" s="122">
        <f t="shared" si="23"/>
        <v>281</v>
      </c>
      <c r="K43" s="122">
        <f t="shared" si="23"/>
        <v>184</v>
      </c>
      <c r="L43" s="122">
        <f t="shared" si="23"/>
        <v>41</v>
      </c>
      <c r="M43" s="122">
        <f t="shared" si="23"/>
        <v>816</v>
      </c>
      <c r="N43" s="123">
        <f>M43*100/G43</f>
        <v>0.1238499109069881</v>
      </c>
      <c r="O43" s="122">
        <f t="shared" si="23"/>
        <v>339</v>
      </c>
      <c r="P43" s="122">
        <f t="shared" si="23"/>
        <v>149</v>
      </c>
      <c r="Q43" s="122">
        <f t="shared" si="23"/>
        <v>571</v>
      </c>
      <c r="R43" s="122">
        <f t="shared" si="23"/>
        <v>280</v>
      </c>
      <c r="S43" s="122">
        <f t="shared" si="23"/>
        <v>117</v>
      </c>
      <c r="T43" s="122">
        <f t="shared" si="23"/>
        <v>1456</v>
      </c>
      <c r="U43" s="123">
        <f t="shared" ref="U43" si="24">T43*100/G43</f>
        <v>0.22098709593207683</v>
      </c>
      <c r="V43" s="122">
        <f t="shared" si="23"/>
        <v>377</v>
      </c>
      <c r="W43" s="122">
        <f t="shared" si="23"/>
        <v>177</v>
      </c>
      <c r="X43" s="122">
        <f t="shared" si="23"/>
        <v>813</v>
      </c>
      <c r="Y43" s="122">
        <f t="shared" si="23"/>
        <v>382</v>
      </c>
      <c r="Z43" s="122">
        <f t="shared" si="23"/>
        <v>128</v>
      </c>
      <c r="AA43" s="122">
        <f t="shared" si="23"/>
        <v>1877</v>
      </c>
      <c r="AB43" s="123">
        <f t="shared" ref="AB43" si="25">AA43*100/G43</f>
        <v>0.28488515045639301</v>
      </c>
      <c r="AC43" s="122">
        <f>AC11+AC25+AC37+AC42</f>
        <v>461</v>
      </c>
      <c r="AD43" s="122">
        <f>AD11+AD25+AD37+AD42</f>
        <v>22</v>
      </c>
      <c r="AE43" s="122">
        <f t="shared" si="23"/>
        <v>6327</v>
      </c>
    </row>
  </sheetData>
  <mergeCells count="9">
    <mergeCell ref="A1:AE1"/>
    <mergeCell ref="A3:A4"/>
    <mergeCell ref="B3:G3"/>
    <mergeCell ref="H3:M3"/>
    <mergeCell ref="N3:N4"/>
    <mergeCell ref="O3:T3"/>
    <mergeCell ref="U3:U4"/>
    <mergeCell ref="V3:AA3"/>
    <mergeCell ref="AB3:AB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A686-C2DA-4F25-9CC6-858BB035F38F}">
  <dimension ref="A1:AE4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C42" sqref="AC42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113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117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196</v>
      </c>
      <c r="C6" s="97">
        <v>69</v>
      </c>
      <c r="D6" s="97">
        <v>268</v>
      </c>
      <c r="E6" s="137">
        <v>94</v>
      </c>
      <c r="F6" s="97">
        <v>145</v>
      </c>
      <c r="G6" s="98">
        <v>574</v>
      </c>
      <c r="H6" s="97">
        <v>2</v>
      </c>
      <c r="I6" s="97">
        <v>0</v>
      </c>
      <c r="J6" s="97">
        <v>0</v>
      </c>
      <c r="K6" s="97">
        <v>0</v>
      </c>
      <c r="L6" s="97">
        <v>0</v>
      </c>
      <c r="M6" s="101">
        <v>2</v>
      </c>
      <c r="N6" s="99">
        <f>M6*100/G6</f>
        <v>0.34843205574912894</v>
      </c>
      <c r="O6" s="97">
        <v>0</v>
      </c>
      <c r="P6" s="97">
        <v>0</v>
      </c>
      <c r="Q6" s="97">
        <v>2</v>
      </c>
      <c r="R6" s="97">
        <v>0</v>
      </c>
      <c r="S6" s="97">
        <v>1</v>
      </c>
      <c r="T6" s="101">
        <v>6</v>
      </c>
      <c r="U6" s="99">
        <f>T6*100/G6</f>
        <v>1.0452961672473868</v>
      </c>
      <c r="V6" s="97">
        <v>2</v>
      </c>
      <c r="W6" s="97">
        <v>2</v>
      </c>
      <c r="X6" s="97">
        <v>6</v>
      </c>
      <c r="Y6" s="97">
        <v>0</v>
      </c>
      <c r="Z6" s="97">
        <v>0</v>
      </c>
      <c r="AA6" s="97">
        <v>5</v>
      </c>
      <c r="AB6" s="99">
        <f>AA6*100/G6</f>
        <v>0.87108013937282225</v>
      </c>
      <c r="AC6" s="101">
        <v>0</v>
      </c>
      <c r="AD6" s="101">
        <v>1</v>
      </c>
      <c r="AE6" s="101">
        <v>47</v>
      </c>
    </row>
    <row r="7" spans="1:31" ht="14.4" thickBot="1" x14ac:dyDescent="0.3">
      <c r="A7" s="90" t="s">
        <v>2</v>
      </c>
      <c r="B7" s="97">
        <v>1358</v>
      </c>
      <c r="C7" s="97">
        <v>371</v>
      </c>
      <c r="D7" s="97">
        <v>1721</v>
      </c>
      <c r="E7" s="137">
        <v>1418</v>
      </c>
      <c r="F7" s="97">
        <v>713</v>
      </c>
      <c r="G7" s="98">
        <v>4441</v>
      </c>
      <c r="H7" s="97">
        <v>1</v>
      </c>
      <c r="I7" s="97">
        <v>1</v>
      </c>
      <c r="J7" s="97">
        <v>9</v>
      </c>
      <c r="K7" s="97">
        <v>1</v>
      </c>
      <c r="L7" s="97">
        <v>0</v>
      </c>
      <c r="M7" s="97">
        <v>8</v>
      </c>
      <c r="N7" s="99">
        <f>M7*100/G7</f>
        <v>0.18013960819635216</v>
      </c>
      <c r="O7" s="97">
        <v>13</v>
      </c>
      <c r="P7" s="97">
        <v>3</v>
      </c>
      <c r="Q7" s="97">
        <v>17</v>
      </c>
      <c r="R7" s="97">
        <v>8</v>
      </c>
      <c r="S7" s="97">
        <v>4</v>
      </c>
      <c r="T7" s="97">
        <v>22</v>
      </c>
      <c r="U7" s="99">
        <f>T7*100/G7</f>
        <v>0.49538392253996849</v>
      </c>
      <c r="V7" s="97">
        <v>8</v>
      </c>
      <c r="W7" s="97">
        <v>1</v>
      </c>
      <c r="X7" s="97">
        <v>33</v>
      </c>
      <c r="Y7" s="97">
        <v>6</v>
      </c>
      <c r="Z7" s="97">
        <v>4</v>
      </c>
      <c r="AA7" s="97">
        <v>28</v>
      </c>
      <c r="AB7" s="99">
        <f>AA7*100/G7</f>
        <v>0.63048862868723266</v>
      </c>
      <c r="AC7" s="101">
        <v>2</v>
      </c>
      <c r="AD7" s="101">
        <v>9</v>
      </c>
      <c r="AE7" s="101">
        <v>222</v>
      </c>
    </row>
    <row r="8" spans="1:31" ht="14.4" thickBot="1" x14ac:dyDescent="0.3">
      <c r="A8" s="90" t="s">
        <v>14</v>
      </c>
      <c r="B8" s="97">
        <v>153</v>
      </c>
      <c r="C8" s="97">
        <v>87</v>
      </c>
      <c r="D8" s="97">
        <v>245</v>
      </c>
      <c r="E8" s="137">
        <v>162</v>
      </c>
      <c r="F8" s="97">
        <v>84</v>
      </c>
      <c r="G8" s="98">
        <v>654</v>
      </c>
      <c r="H8" s="97">
        <v>1</v>
      </c>
      <c r="I8" s="97">
        <v>0</v>
      </c>
      <c r="J8" s="97">
        <v>0</v>
      </c>
      <c r="K8" s="97">
        <v>0</v>
      </c>
      <c r="L8" s="97">
        <v>0</v>
      </c>
      <c r="M8" s="101">
        <v>1</v>
      </c>
      <c r="N8" s="99">
        <f>M8*100/G8</f>
        <v>0.1529051987767584</v>
      </c>
      <c r="O8" s="97">
        <v>0</v>
      </c>
      <c r="P8" s="97">
        <v>0</v>
      </c>
      <c r="Q8" s="97">
        <v>1</v>
      </c>
      <c r="R8" s="97">
        <v>0</v>
      </c>
      <c r="S8" s="97">
        <v>0</v>
      </c>
      <c r="T8" s="101">
        <v>1</v>
      </c>
      <c r="U8" s="99">
        <f t="shared" ref="U8:U43" si="0">T8*100/G8</f>
        <v>0.1529051987767584</v>
      </c>
      <c r="V8" s="97">
        <v>1</v>
      </c>
      <c r="W8" s="97">
        <v>0</v>
      </c>
      <c r="X8" s="97">
        <v>6</v>
      </c>
      <c r="Y8" s="97">
        <v>0</v>
      </c>
      <c r="Z8" s="97">
        <v>0</v>
      </c>
      <c r="AA8" s="97">
        <v>1</v>
      </c>
      <c r="AB8" s="99">
        <f t="shared" ref="AB8:AB43" si="1">AA8*100/G8</f>
        <v>0.1529051987767584</v>
      </c>
      <c r="AC8" s="101">
        <v>0</v>
      </c>
      <c r="AD8" s="101">
        <v>0</v>
      </c>
      <c r="AE8" s="101">
        <v>16</v>
      </c>
    </row>
    <row r="9" spans="1:31" ht="14.4" thickBot="1" x14ac:dyDescent="0.3">
      <c r="A9" s="90" t="s">
        <v>3</v>
      </c>
      <c r="B9" s="97">
        <v>147</v>
      </c>
      <c r="C9" s="97">
        <v>85</v>
      </c>
      <c r="D9" s="97">
        <v>268</v>
      </c>
      <c r="E9" s="137">
        <v>243</v>
      </c>
      <c r="F9" s="97">
        <v>94</v>
      </c>
      <c r="G9" s="98">
        <v>793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1</v>
      </c>
      <c r="N9" s="99">
        <f>M9*100/G9</f>
        <v>0.12610340479192939</v>
      </c>
      <c r="O9" s="97">
        <v>3</v>
      </c>
      <c r="P9" s="97">
        <v>0</v>
      </c>
      <c r="Q9" s="97">
        <v>5</v>
      </c>
      <c r="R9" s="97">
        <v>2</v>
      </c>
      <c r="S9" s="97">
        <v>0</v>
      </c>
      <c r="T9" s="97">
        <v>3</v>
      </c>
      <c r="U9" s="99">
        <f t="shared" si="0"/>
        <v>0.37831021437578816</v>
      </c>
      <c r="V9" s="97">
        <v>0</v>
      </c>
      <c r="W9" s="97">
        <v>0</v>
      </c>
      <c r="X9" s="97">
        <v>6</v>
      </c>
      <c r="Y9" s="97">
        <v>3</v>
      </c>
      <c r="Z9" s="97">
        <v>1</v>
      </c>
      <c r="AA9" s="97">
        <v>2</v>
      </c>
      <c r="AB9" s="99">
        <f t="shared" si="1"/>
        <v>0.25220680958385877</v>
      </c>
      <c r="AC9" s="101">
        <v>0</v>
      </c>
      <c r="AD9" s="101">
        <v>0</v>
      </c>
      <c r="AE9" s="101">
        <v>25</v>
      </c>
    </row>
    <row r="10" spans="1:31" ht="23.4" thickBot="1" x14ac:dyDescent="0.3">
      <c r="A10" s="139" t="s">
        <v>23</v>
      </c>
      <c r="B10" s="97">
        <v>1074</v>
      </c>
      <c r="C10" s="97">
        <v>243</v>
      </c>
      <c r="D10" s="97">
        <v>1310</v>
      </c>
      <c r="E10" s="137">
        <v>752</v>
      </c>
      <c r="F10" s="97">
        <v>524</v>
      </c>
      <c r="G10" s="98">
        <v>3740</v>
      </c>
      <c r="H10" s="97">
        <v>4</v>
      </c>
      <c r="I10" s="97">
        <v>0</v>
      </c>
      <c r="J10" s="97">
        <v>2</v>
      </c>
      <c r="K10" s="97">
        <v>3</v>
      </c>
      <c r="L10" s="97">
        <v>0</v>
      </c>
      <c r="M10" s="97">
        <v>3</v>
      </c>
      <c r="N10" s="99">
        <f>M10*100/G10</f>
        <v>8.0213903743315509E-2</v>
      </c>
      <c r="O10" s="97">
        <v>15</v>
      </c>
      <c r="P10" s="97">
        <v>0</v>
      </c>
      <c r="Q10" s="97">
        <v>7</v>
      </c>
      <c r="R10" s="97">
        <v>11</v>
      </c>
      <c r="S10" s="97">
        <v>2</v>
      </c>
      <c r="T10" s="100">
        <v>18</v>
      </c>
      <c r="U10" s="99">
        <f t="shared" si="0"/>
        <v>0.48128342245989303</v>
      </c>
      <c r="V10" s="97">
        <v>7</v>
      </c>
      <c r="W10" s="97">
        <v>2</v>
      </c>
      <c r="X10" s="97">
        <v>17</v>
      </c>
      <c r="Y10" s="97">
        <v>0</v>
      </c>
      <c r="Z10" s="97">
        <v>0</v>
      </c>
      <c r="AA10" s="97">
        <v>2</v>
      </c>
      <c r="AB10" s="99">
        <f t="shared" si="1"/>
        <v>5.3475935828877004E-2</v>
      </c>
      <c r="AC10" s="101">
        <v>3</v>
      </c>
      <c r="AD10" s="101">
        <v>4</v>
      </c>
      <c r="AE10" s="101">
        <v>176</v>
      </c>
    </row>
    <row r="11" spans="1:31" s="132" customFormat="1" ht="14.4" thickBot="1" x14ac:dyDescent="0.3">
      <c r="A11" s="124" t="s">
        <v>21</v>
      </c>
      <c r="B11" s="105">
        <f t="shared" ref="B11:L11" si="2">SUM(B6:B10)</f>
        <v>2928</v>
      </c>
      <c r="C11" s="105">
        <f t="shared" si="2"/>
        <v>855</v>
      </c>
      <c r="D11" s="105">
        <f t="shared" si="2"/>
        <v>3812</v>
      </c>
      <c r="E11" s="105">
        <f t="shared" si="2"/>
        <v>2669</v>
      </c>
      <c r="F11" s="105">
        <f t="shared" si="2"/>
        <v>1560</v>
      </c>
      <c r="G11" s="102">
        <v>10202</v>
      </c>
      <c r="H11" s="111">
        <f t="shared" si="2"/>
        <v>8</v>
      </c>
      <c r="I11" s="111">
        <f t="shared" si="2"/>
        <v>1</v>
      </c>
      <c r="J11" s="111">
        <f t="shared" si="2"/>
        <v>11</v>
      </c>
      <c r="K11" s="111">
        <f t="shared" si="2"/>
        <v>4</v>
      </c>
      <c r="L11" s="111">
        <f t="shared" si="2"/>
        <v>0</v>
      </c>
      <c r="M11" s="103">
        <v>15</v>
      </c>
      <c r="N11" s="104">
        <f t="shared" ref="N11:N43" si="3">M11*100/G11</f>
        <v>0.14702999411880024</v>
      </c>
      <c r="O11" s="105">
        <f>SUM(O7:O10)</f>
        <v>31</v>
      </c>
      <c r="P11" s="105">
        <f>SUM(P6:P10)</f>
        <v>3</v>
      </c>
      <c r="Q11" s="105">
        <f>SUM(Q6:Q10)</f>
        <v>32</v>
      </c>
      <c r="R11" s="105">
        <f>SUM(R6:R10)</f>
        <v>21</v>
      </c>
      <c r="S11" s="105">
        <f>SUM(S6:S10)</f>
        <v>7</v>
      </c>
      <c r="T11" s="103">
        <v>50</v>
      </c>
      <c r="U11" s="104">
        <f t="shared" si="0"/>
        <v>0.49009998039600078</v>
      </c>
      <c r="V11" s="105">
        <f>SUM(V7:V10)</f>
        <v>16</v>
      </c>
      <c r="W11" s="105">
        <f>SUM(W6:W10)</f>
        <v>5</v>
      </c>
      <c r="X11" s="105">
        <f>SUM(X6:X10)</f>
        <v>68</v>
      </c>
      <c r="Y11" s="105">
        <f>SUM(Y6:Y10)</f>
        <v>9</v>
      </c>
      <c r="Z11" s="105">
        <f>SUM(Z6:Z10)</f>
        <v>5</v>
      </c>
      <c r="AA11" s="103">
        <v>50</v>
      </c>
      <c r="AB11" s="104">
        <f t="shared" si="1"/>
        <v>0.49009998039600078</v>
      </c>
      <c r="AC11" s="107">
        <f>SUM(AC6:AC10)</f>
        <v>5</v>
      </c>
      <c r="AD11" s="107">
        <f t="shared" ref="AD11:AE11" si="4">SUM(AD6:AD10)</f>
        <v>14</v>
      </c>
      <c r="AE11" s="107">
        <f t="shared" si="4"/>
        <v>486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56</v>
      </c>
      <c r="C14" s="97">
        <v>6</v>
      </c>
      <c r="D14" s="97">
        <v>82</v>
      </c>
      <c r="E14" s="97">
        <v>25</v>
      </c>
      <c r="F14" s="97">
        <v>24</v>
      </c>
      <c r="G14" s="98">
        <v>108</v>
      </c>
      <c r="H14" s="97">
        <v>0</v>
      </c>
      <c r="I14" s="97">
        <v>0</v>
      </c>
      <c r="J14" s="97">
        <v>0</v>
      </c>
      <c r="K14" s="97">
        <v>1</v>
      </c>
      <c r="L14" s="97">
        <v>0</v>
      </c>
      <c r="M14" s="101">
        <v>1</v>
      </c>
      <c r="N14" s="99">
        <f t="shared" si="3"/>
        <v>0.92592592592592593</v>
      </c>
      <c r="O14" s="97">
        <v>0</v>
      </c>
      <c r="P14" s="97">
        <v>0</v>
      </c>
      <c r="Q14" s="97">
        <v>0</v>
      </c>
      <c r="R14" s="97">
        <v>1</v>
      </c>
      <c r="S14" s="97">
        <v>0</v>
      </c>
      <c r="T14" s="97">
        <v>0</v>
      </c>
      <c r="U14" s="99">
        <f t="shared" si="0"/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v>0</v>
      </c>
      <c r="AB14" s="99">
        <f t="shared" si="1"/>
        <v>0</v>
      </c>
      <c r="AC14" s="101">
        <v>0</v>
      </c>
      <c r="AD14" s="101">
        <v>0</v>
      </c>
      <c r="AE14" s="101">
        <v>0</v>
      </c>
    </row>
    <row r="15" spans="1:31" ht="14.4" thickBot="1" x14ac:dyDescent="0.3">
      <c r="A15" s="89" t="s">
        <v>5</v>
      </c>
      <c r="B15" s="97">
        <v>88</v>
      </c>
      <c r="C15" s="97">
        <v>31</v>
      </c>
      <c r="D15" s="97">
        <v>181</v>
      </c>
      <c r="E15" s="97">
        <v>190</v>
      </c>
      <c r="F15" s="97">
        <v>63</v>
      </c>
      <c r="G15" s="98">
        <v>606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5</v>
      </c>
      <c r="N15" s="99">
        <f t="shared" si="3"/>
        <v>0.82508250825082508</v>
      </c>
      <c r="O15" s="97">
        <v>0</v>
      </c>
      <c r="P15" s="97">
        <v>0</v>
      </c>
      <c r="Q15" s="97">
        <v>3</v>
      </c>
      <c r="R15" s="97">
        <v>2</v>
      </c>
      <c r="S15" s="97">
        <v>0</v>
      </c>
      <c r="T15" s="97">
        <v>7</v>
      </c>
      <c r="U15" s="99">
        <f t="shared" si="0"/>
        <v>1.1551155115511551</v>
      </c>
      <c r="V15" s="97">
        <v>0</v>
      </c>
      <c r="W15" s="97">
        <v>0</v>
      </c>
      <c r="X15" s="97">
        <v>0</v>
      </c>
      <c r="Y15" s="97">
        <v>3</v>
      </c>
      <c r="Z15" s="97">
        <v>1</v>
      </c>
      <c r="AA15" s="97">
        <v>0</v>
      </c>
      <c r="AB15" s="99">
        <f t="shared" si="1"/>
        <v>0</v>
      </c>
      <c r="AC15" s="101">
        <v>7</v>
      </c>
      <c r="AD15" s="101">
        <v>0</v>
      </c>
      <c r="AE15" s="101">
        <v>35</v>
      </c>
    </row>
    <row r="16" spans="1:31" ht="14.4" thickBot="1" x14ac:dyDescent="0.3">
      <c r="A16" s="89" t="s">
        <v>6</v>
      </c>
      <c r="B16" s="109">
        <v>48</v>
      </c>
      <c r="C16" s="97">
        <v>26</v>
      </c>
      <c r="D16" s="97">
        <v>58</v>
      </c>
      <c r="E16" s="97">
        <v>61</v>
      </c>
      <c r="F16" s="97">
        <v>36</v>
      </c>
      <c r="G16" s="98">
        <v>212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v>3</v>
      </c>
      <c r="N16" s="99">
        <f t="shared" si="3"/>
        <v>1.4150943396226414</v>
      </c>
      <c r="O16" s="97">
        <v>0</v>
      </c>
      <c r="P16" s="97">
        <v>0</v>
      </c>
      <c r="Q16" s="97">
        <v>2</v>
      </c>
      <c r="R16" s="97">
        <v>0</v>
      </c>
      <c r="S16" s="97">
        <v>0</v>
      </c>
      <c r="T16" s="97">
        <v>1</v>
      </c>
      <c r="U16" s="99">
        <f t="shared" si="0"/>
        <v>0.47169811320754718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9">
        <f t="shared" si="1"/>
        <v>0</v>
      </c>
      <c r="AC16" s="101">
        <v>1</v>
      </c>
      <c r="AD16" s="101">
        <v>0</v>
      </c>
      <c r="AE16" s="101">
        <v>1</v>
      </c>
    </row>
    <row r="17" spans="1:31" ht="14.4" thickBot="1" x14ac:dyDescent="0.3">
      <c r="A17" s="89" t="s">
        <v>7</v>
      </c>
      <c r="B17" s="97">
        <v>69</v>
      </c>
      <c r="C17" s="97">
        <v>21</v>
      </c>
      <c r="D17" s="97">
        <v>45</v>
      </c>
      <c r="E17" s="97">
        <v>32</v>
      </c>
      <c r="F17" s="97">
        <v>22</v>
      </c>
      <c r="G17" s="98">
        <v>142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v>0</v>
      </c>
      <c r="N17" s="99">
        <f t="shared" si="3"/>
        <v>0</v>
      </c>
      <c r="O17" s="97">
        <v>1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9">
        <f t="shared" si="0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101">
        <v>0</v>
      </c>
      <c r="AB17" s="99">
        <f t="shared" si="1"/>
        <v>0</v>
      </c>
      <c r="AC17" s="101">
        <v>3</v>
      </c>
      <c r="AD17" s="101">
        <v>0</v>
      </c>
      <c r="AE17" s="101">
        <v>2</v>
      </c>
    </row>
    <row r="18" spans="1:31" ht="14.4" thickBot="1" x14ac:dyDescent="0.3">
      <c r="A18" s="89" t="s">
        <v>8</v>
      </c>
      <c r="B18" s="97">
        <v>7</v>
      </c>
      <c r="C18" s="97">
        <v>2</v>
      </c>
      <c r="D18" s="97">
        <v>8</v>
      </c>
      <c r="E18" s="97">
        <v>12</v>
      </c>
      <c r="F18" s="97">
        <v>2</v>
      </c>
      <c r="G18" s="98">
        <v>36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v>0</v>
      </c>
      <c r="U18" s="99">
        <f t="shared" si="0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9">
        <f t="shared" si="1"/>
        <v>0</v>
      </c>
      <c r="AC18" s="101">
        <v>0</v>
      </c>
      <c r="AD18" s="101">
        <v>0</v>
      </c>
      <c r="AE18" s="101">
        <v>1</v>
      </c>
    </row>
    <row r="19" spans="1:31" ht="14.4" thickBot="1" x14ac:dyDescent="0.3">
      <c r="A19" s="89" t="s">
        <v>9</v>
      </c>
      <c r="B19" s="97">
        <v>29</v>
      </c>
      <c r="C19" s="97">
        <v>13</v>
      </c>
      <c r="D19" s="97">
        <v>42</v>
      </c>
      <c r="E19" s="97">
        <v>37</v>
      </c>
      <c r="F19" s="97">
        <v>15</v>
      </c>
      <c r="G19" s="98">
        <v>109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v>0</v>
      </c>
      <c r="N19" s="99">
        <f t="shared" si="3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v>0</v>
      </c>
      <c r="U19" s="99">
        <f t="shared" si="0"/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v>0</v>
      </c>
      <c r="AB19" s="99">
        <f t="shared" si="1"/>
        <v>0</v>
      </c>
      <c r="AC19" s="101">
        <v>0</v>
      </c>
      <c r="AD19" s="101">
        <v>0</v>
      </c>
      <c r="AE19" s="101">
        <v>0</v>
      </c>
    </row>
    <row r="20" spans="1:31" ht="14.4" thickBot="1" x14ac:dyDescent="0.3">
      <c r="A20" s="89" t="s">
        <v>10</v>
      </c>
      <c r="B20" s="97">
        <v>9</v>
      </c>
      <c r="C20" s="97">
        <v>5</v>
      </c>
      <c r="D20" s="97">
        <v>12</v>
      </c>
      <c r="E20" s="97">
        <v>23</v>
      </c>
      <c r="F20" s="97">
        <v>3</v>
      </c>
      <c r="G20" s="98">
        <v>56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v>0</v>
      </c>
      <c r="N20" s="99">
        <f t="shared" si="3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v>0</v>
      </c>
      <c r="U20" s="99">
        <f t="shared" si="0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v>0</v>
      </c>
      <c r="AB20" s="99">
        <f t="shared" si="1"/>
        <v>0</v>
      </c>
      <c r="AC20" s="101">
        <v>0</v>
      </c>
      <c r="AD20" s="101">
        <v>0</v>
      </c>
      <c r="AE20" s="101">
        <v>0</v>
      </c>
    </row>
    <row r="21" spans="1:31" ht="14.4" thickBot="1" x14ac:dyDescent="0.3">
      <c r="A21" s="89" t="s">
        <v>11</v>
      </c>
      <c r="B21" s="97">
        <v>50</v>
      </c>
      <c r="C21" s="97">
        <v>12</v>
      </c>
      <c r="D21" s="97">
        <v>74</v>
      </c>
      <c r="E21" s="97">
        <v>97</v>
      </c>
      <c r="F21" s="97">
        <v>29</v>
      </c>
      <c r="G21" s="98">
        <v>278</v>
      </c>
      <c r="H21" s="97">
        <v>0</v>
      </c>
      <c r="I21" s="97">
        <v>0</v>
      </c>
      <c r="J21" s="97">
        <v>0</v>
      </c>
      <c r="K21" s="97">
        <v>1</v>
      </c>
      <c r="L21" s="97">
        <v>0</v>
      </c>
      <c r="M21" s="97">
        <v>2</v>
      </c>
      <c r="N21" s="99">
        <f t="shared" si="3"/>
        <v>0.71942446043165464</v>
      </c>
      <c r="O21" s="97">
        <v>0</v>
      </c>
      <c r="P21" s="97">
        <v>0</v>
      </c>
      <c r="Q21" s="97">
        <v>1</v>
      </c>
      <c r="R21" s="97">
        <v>0</v>
      </c>
      <c r="S21" s="97">
        <v>0</v>
      </c>
      <c r="T21" s="97">
        <v>1</v>
      </c>
      <c r="U21" s="99">
        <f t="shared" si="0"/>
        <v>0.35971223021582732</v>
      </c>
      <c r="V21" s="97">
        <v>0</v>
      </c>
      <c r="W21" s="97">
        <v>0</v>
      </c>
      <c r="X21" s="97">
        <v>2</v>
      </c>
      <c r="Y21" s="97">
        <v>2</v>
      </c>
      <c r="Z21" s="97">
        <v>0</v>
      </c>
      <c r="AA21" s="97">
        <v>1</v>
      </c>
      <c r="AB21" s="99">
        <f t="shared" si="1"/>
        <v>0.35971223021582732</v>
      </c>
      <c r="AC21" s="101">
        <v>0</v>
      </c>
      <c r="AD21" s="101">
        <v>0</v>
      </c>
      <c r="AE21" s="101">
        <v>17</v>
      </c>
    </row>
    <row r="22" spans="1:31" ht="14.4" thickBot="1" x14ac:dyDescent="0.3">
      <c r="A22" s="89" t="s">
        <v>12</v>
      </c>
      <c r="B22" s="97">
        <v>1685</v>
      </c>
      <c r="C22" s="97">
        <v>868</v>
      </c>
      <c r="D22" s="97">
        <v>3157</v>
      </c>
      <c r="E22" s="97">
        <v>2444</v>
      </c>
      <c r="F22" s="97">
        <v>1110</v>
      </c>
      <c r="G22" s="98">
        <v>7898</v>
      </c>
      <c r="H22" s="97">
        <v>7</v>
      </c>
      <c r="I22" s="97">
        <v>2</v>
      </c>
      <c r="J22" s="97">
        <v>9</v>
      </c>
      <c r="K22" s="97">
        <v>9</v>
      </c>
      <c r="L22" s="97">
        <v>1</v>
      </c>
      <c r="M22" s="97">
        <v>58</v>
      </c>
      <c r="N22" s="99">
        <f t="shared" si="3"/>
        <v>0.73436312990630537</v>
      </c>
      <c r="O22" s="97">
        <v>6</v>
      </c>
      <c r="P22" s="97">
        <v>4</v>
      </c>
      <c r="Q22" s="97">
        <v>34</v>
      </c>
      <c r="R22" s="97">
        <v>7</v>
      </c>
      <c r="S22" s="97">
        <v>3</v>
      </c>
      <c r="T22" s="97">
        <v>44</v>
      </c>
      <c r="U22" s="99">
        <f t="shared" si="0"/>
        <v>0.55710306406685239</v>
      </c>
      <c r="V22" s="97">
        <v>4</v>
      </c>
      <c r="W22" s="97">
        <v>4</v>
      </c>
      <c r="X22" s="97">
        <v>72</v>
      </c>
      <c r="Y22" s="97">
        <v>11</v>
      </c>
      <c r="Z22" s="97">
        <v>1</v>
      </c>
      <c r="AA22" s="97">
        <v>19</v>
      </c>
      <c r="AB22" s="99">
        <f t="shared" si="1"/>
        <v>0.24056723221068624</v>
      </c>
      <c r="AC22" s="101">
        <v>43</v>
      </c>
      <c r="AD22" s="101">
        <v>8</v>
      </c>
      <c r="AE22" s="101">
        <v>277</v>
      </c>
    </row>
    <row r="23" spans="1:31" ht="14.4" thickBot="1" x14ac:dyDescent="0.3">
      <c r="A23" s="89" t="s">
        <v>13</v>
      </c>
      <c r="B23" s="97">
        <v>10</v>
      </c>
      <c r="C23" s="97">
        <v>3</v>
      </c>
      <c r="D23" s="97">
        <v>4</v>
      </c>
      <c r="E23" s="97">
        <v>6</v>
      </c>
      <c r="F23" s="97">
        <v>3</v>
      </c>
      <c r="G23" s="98">
        <v>35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9">
        <f t="shared" si="3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9">
        <f t="shared" si="0"/>
        <v>0</v>
      </c>
      <c r="V23" s="97">
        <v>0</v>
      </c>
      <c r="W23" s="97">
        <v>0</v>
      </c>
      <c r="X23" s="97">
        <v>0</v>
      </c>
      <c r="Y23" s="97">
        <v>1</v>
      </c>
      <c r="Z23" s="97">
        <v>0</v>
      </c>
      <c r="AA23" s="97">
        <v>0</v>
      </c>
      <c r="AB23" s="99">
        <f t="shared" si="1"/>
        <v>0</v>
      </c>
      <c r="AC23" s="101">
        <v>0</v>
      </c>
      <c r="AD23" s="101">
        <v>0</v>
      </c>
      <c r="AE23" s="101">
        <v>0</v>
      </c>
    </row>
    <row r="24" spans="1:31" ht="23.4" thickBot="1" x14ac:dyDescent="0.3">
      <c r="A24" s="139" t="s">
        <v>23</v>
      </c>
      <c r="B24" s="110">
        <v>319</v>
      </c>
      <c r="C24" s="110">
        <v>59</v>
      </c>
      <c r="D24" s="97">
        <v>0</v>
      </c>
      <c r="E24" s="110">
        <v>380</v>
      </c>
      <c r="F24" s="97">
        <v>200</v>
      </c>
      <c r="G24" s="98">
        <v>2406</v>
      </c>
      <c r="H24" s="110">
        <v>0</v>
      </c>
      <c r="I24" s="97">
        <v>0</v>
      </c>
      <c r="J24" s="97">
        <v>0</v>
      </c>
      <c r="K24" s="97">
        <v>0</v>
      </c>
      <c r="L24" s="97">
        <v>0</v>
      </c>
      <c r="M24" s="97">
        <v>9</v>
      </c>
      <c r="N24" s="99">
        <f t="shared" si="3"/>
        <v>0.37406483790523692</v>
      </c>
      <c r="O24" s="110">
        <v>0</v>
      </c>
      <c r="P24" s="97">
        <v>0</v>
      </c>
      <c r="Q24" s="110">
        <v>0</v>
      </c>
      <c r="R24" s="110">
        <v>0</v>
      </c>
      <c r="S24" s="97">
        <v>0</v>
      </c>
      <c r="T24" s="97">
        <v>4</v>
      </c>
      <c r="U24" s="99">
        <f t="shared" si="0"/>
        <v>0.16625103906899419</v>
      </c>
      <c r="V24" s="110">
        <v>1</v>
      </c>
      <c r="W24" s="110">
        <v>0</v>
      </c>
      <c r="X24" s="110">
        <v>0</v>
      </c>
      <c r="Y24" s="110">
        <v>0</v>
      </c>
      <c r="Z24" s="110">
        <v>0</v>
      </c>
      <c r="AA24" s="97">
        <v>0</v>
      </c>
      <c r="AB24" s="99">
        <f t="shared" si="1"/>
        <v>0</v>
      </c>
      <c r="AC24" s="101">
        <v>3</v>
      </c>
      <c r="AD24" s="101">
        <v>2</v>
      </c>
      <c r="AE24" s="101">
        <v>25</v>
      </c>
    </row>
    <row r="25" spans="1:31" s="132" customFormat="1" ht="14.4" thickBot="1" x14ac:dyDescent="0.3">
      <c r="A25" s="128" t="s">
        <v>22</v>
      </c>
      <c r="B25" s="111">
        <f>SUM(B14:B24)</f>
        <v>2370</v>
      </c>
      <c r="C25" s="111">
        <f>SUM(C14:C24)</f>
        <v>1046</v>
      </c>
      <c r="D25" s="111">
        <f>SUM(D14:D24)</f>
        <v>3663</v>
      </c>
      <c r="E25" s="111">
        <f>SUM(E14:E24)</f>
        <v>3307</v>
      </c>
      <c r="F25" s="111">
        <f>SUM(F14:F24)</f>
        <v>1507</v>
      </c>
      <c r="G25" s="102">
        <v>11886</v>
      </c>
      <c r="H25" s="111">
        <f>SUM(H14:H24)</f>
        <v>7</v>
      </c>
      <c r="I25" s="111">
        <f>SUM(I14:I24)</f>
        <v>2</v>
      </c>
      <c r="J25" s="111">
        <f>SUM(J14:J24)</f>
        <v>9</v>
      </c>
      <c r="K25" s="111">
        <f>SUM(K14:K24)</f>
        <v>11</v>
      </c>
      <c r="L25" s="111">
        <f>SUM(L14:L24)</f>
        <v>1</v>
      </c>
      <c r="M25" s="103">
        <v>78</v>
      </c>
      <c r="N25" s="104">
        <f t="shared" si="3"/>
        <v>0.65623422513881879</v>
      </c>
      <c r="O25" s="111">
        <f>SUM(O17:O24)</f>
        <v>8</v>
      </c>
      <c r="P25" s="111">
        <f>SUM(P14:P24)</f>
        <v>4</v>
      </c>
      <c r="Q25" s="111">
        <f>SUM(Q14:Q24)</f>
        <v>40</v>
      </c>
      <c r="R25" s="111">
        <f>SUM(R14:R24)</f>
        <v>10</v>
      </c>
      <c r="S25" s="111">
        <f>SUM(S14:S24)</f>
        <v>3</v>
      </c>
      <c r="T25" s="103">
        <v>57</v>
      </c>
      <c r="U25" s="104">
        <f t="shared" si="0"/>
        <v>0.47955577990913678</v>
      </c>
      <c r="V25" s="111">
        <f>SUM(V17:V24)</f>
        <v>5</v>
      </c>
      <c r="W25" s="111">
        <f>SUM(W14:W24)</f>
        <v>4</v>
      </c>
      <c r="X25" s="111">
        <f>SUM(X14:X24)</f>
        <v>74</v>
      </c>
      <c r="Y25" s="111">
        <f>SUM(Y14:Y24)</f>
        <v>17</v>
      </c>
      <c r="Z25" s="111">
        <f>SUM(Z14:Z24)</f>
        <v>2</v>
      </c>
      <c r="AA25" s="103">
        <v>57</v>
      </c>
      <c r="AB25" s="104">
        <f t="shared" si="1"/>
        <v>0.47955577990913678</v>
      </c>
      <c r="AC25" s="107">
        <f>SUM(AC14:AC24)</f>
        <v>57</v>
      </c>
      <c r="AD25" s="107">
        <f t="shared" ref="AD25:AE25" si="5">SUM(AD14:AD24)</f>
        <v>10</v>
      </c>
      <c r="AE25" s="107">
        <f t="shared" si="5"/>
        <v>358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2983</v>
      </c>
      <c r="C28" s="97">
        <v>1480</v>
      </c>
      <c r="D28" s="97">
        <v>3213</v>
      </c>
      <c r="E28" s="97">
        <v>3012</v>
      </c>
      <c r="F28" s="97">
        <v>3142</v>
      </c>
      <c r="G28" s="98">
        <v>13721</v>
      </c>
      <c r="H28" s="97">
        <v>5</v>
      </c>
      <c r="I28" s="97">
        <v>0</v>
      </c>
      <c r="J28" s="97">
        <v>17</v>
      </c>
      <c r="K28" s="97">
        <v>0</v>
      </c>
      <c r="L28" s="97">
        <v>1</v>
      </c>
      <c r="M28" s="97">
        <v>12</v>
      </c>
      <c r="N28" s="99">
        <f t="shared" si="3"/>
        <v>8.7457182421106339E-2</v>
      </c>
      <c r="O28" s="97">
        <v>8</v>
      </c>
      <c r="P28" s="97">
        <v>3</v>
      </c>
      <c r="Q28" s="97">
        <v>8</v>
      </c>
      <c r="R28" s="97">
        <v>1</v>
      </c>
      <c r="S28" s="97">
        <v>1</v>
      </c>
      <c r="T28" s="97">
        <v>14</v>
      </c>
      <c r="U28" s="99">
        <f t="shared" si="0"/>
        <v>0.10203337949129072</v>
      </c>
      <c r="V28" s="97">
        <v>7</v>
      </c>
      <c r="W28" s="97">
        <v>2</v>
      </c>
      <c r="X28" s="97">
        <v>14</v>
      </c>
      <c r="Y28" s="97">
        <v>2</v>
      </c>
      <c r="Z28" s="97">
        <v>2</v>
      </c>
      <c r="AA28" s="97">
        <v>7</v>
      </c>
      <c r="AB28" s="99">
        <f t="shared" si="1"/>
        <v>5.1016689745645362E-2</v>
      </c>
      <c r="AC28" s="101">
        <v>4</v>
      </c>
      <c r="AD28" s="101">
        <v>1</v>
      </c>
      <c r="AE28" s="101">
        <v>95</v>
      </c>
    </row>
    <row r="29" spans="1:31" ht="14.4" thickBot="1" x14ac:dyDescent="0.3">
      <c r="A29" s="89" t="s">
        <v>16</v>
      </c>
      <c r="B29" s="97">
        <v>1098</v>
      </c>
      <c r="C29" s="97">
        <v>745</v>
      </c>
      <c r="D29" s="97">
        <v>1910</v>
      </c>
      <c r="E29" s="97">
        <v>1601</v>
      </c>
      <c r="F29" s="97">
        <v>901</v>
      </c>
      <c r="G29" s="98">
        <v>6361</v>
      </c>
      <c r="H29" s="97">
        <v>2</v>
      </c>
      <c r="I29" s="97">
        <v>1</v>
      </c>
      <c r="J29" s="97">
        <v>6</v>
      </c>
      <c r="K29" s="97">
        <v>7</v>
      </c>
      <c r="L29" s="97">
        <v>1</v>
      </c>
      <c r="M29" s="97">
        <v>17</v>
      </c>
      <c r="N29" s="99">
        <f t="shared" si="3"/>
        <v>0.2672535764816853</v>
      </c>
      <c r="O29" s="97">
        <v>5</v>
      </c>
      <c r="P29" s="97">
        <v>0</v>
      </c>
      <c r="Q29" s="97">
        <v>15</v>
      </c>
      <c r="R29" s="97">
        <v>2</v>
      </c>
      <c r="S29" s="97">
        <v>0</v>
      </c>
      <c r="T29" s="97">
        <v>26</v>
      </c>
      <c r="U29" s="99">
        <f t="shared" si="0"/>
        <v>0.40874076403081278</v>
      </c>
      <c r="V29" s="97">
        <v>4</v>
      </c>
      <c r="W29" s="97">
        <v>2</v>
      </c>
      <c r="X29" s="97">
        <v>10</v>
      </c>
      <c r="Y29" s="97">
        <v>4</v>
      </c>
      <c r="Z29" s="97">
        <v>0</v>
      </c>
      <c r="AA29" s="97">
        <v>18</v>
      </c>
      <c r="AB29" s="99">
        <f t="shared" si="1"/>
        <v>0.28297437509825502</v>
      </c>
      <c r="AC29" s="101">
        <v>10</v>
      </c>
      <c r="AD29" s="101">
        <v>1</v>
      </c>
      <c r="AE29" s="101">
        <v>82</v>
      </c>
    </row>
    <row r="30" spans="1:31" ht="14.4" thickBot="1" x14ac:dyDescent="0.3">
      <c r="A30" s="89" t="s">
        <v>34</v>
      </c>
      <c r="B30" s="97">
        <v>913</v>
      </c>
      <c r="C30" s="97">
        <v>502</v>
      </c>
      <c r="D30" s="97">
        <v>925</v>
      </c>
      <c r="E30" s="97">
        <v>900</v>
      </c>
      <c r="F30" s="97">
        <v>1082</v>
      </c>
      <c r="G30" s="98">
        <v>4563</v>
      </c>
      <c r="H30" s="97">
        <v>3</v>
      </c>
      <c r="I30" s="97">
        <v>1</v>
      </c>
      <c r="J30" s="97">
        <v>2</v>
      </c>
      <c r="K30" s="97">
        <v>0</v>
      </c>
      <c r="L30" s="97">
        <v>0</v>
      </c>
      <c r="M30" s="97">
        <v>4</v>
      </c>
      <c r="N30" s="99">
        <f t="shared" si="3"/>
        <v>8.7661626123164582E-2</v>
      </c>
      <c r="O30" s="97">
        <v>10</v>
      </c>
      <c r="P30" s="97">
        <v>1</v>
      </c>
      <c r="Q30" s="97">
        <v>8</v>
      </c>
      <c r="R30" s="97">
        <v>3</v>
      </c>
      <c r="S30" s="97">
        <v>1</v>
      </c>
      <c r="T30" s="97">
        <v>19</v>
      </c>
      <c r="U30" s="99">
        <f t="shared" si="0"/>
        <v>0.41639272408503175</v>
      </c>
      <c r="V30" s="97"/>
      <c r="W30" s="97"/>
      <c r="X30" s="97">
        <v>10</v>
      </c>
      <c r="Y30" s="97">
        <v>1</v>
      </c>
      <c r="Z30" s="97">
        <v>1</v>
      </c>
      <c r="AA30" s="97">
        <v>1</v>
      </c>
      <c r="AB30" s="99">
        <f t="shared" si="1"/>
        <v>2.1915406530791146E-2</v>
      </c>
      <c r="AC30" s="101">
        <v>2</v>
      </c>
      <c r="AD30" s="101">
        <v>0</v>
      </c>
      <c r="AE30" s="101">
        <v>34</v>
      </c>
    </row>
    <row r="31" spans="1:31" ht="14.4" thickBot="1" x14ac:dyDescent="0.3">
      <c r="A31" s="89" t="s">
        <v>17</v>
      </c>
      <c r="B31" s="97">
        <v>5962</v>
      </c>
      <c r="C31" s="97">
        <v>3612</v>
      </c>
      <c r="D31" s="97">
        <v>8185</v>
      </c>
      <c r="E31" s="97">
        <v>6969</v>
      </c>
      <c r="F31" s="97">
        <v>4686</v>
      </c>
      <c r="G31" s="98">
        <v>32134</v>
      </c>
      <c r="H31" s="97">
        <v>5</v>
      </c>
      <c r="I31" s="97">
        <v>8</v>
      </c>
      <c r="J31" s="97">
        <v>8</v>
      </c>
      <c r="K31" s="97">
        <v>2</v>
      </c>
      <c r="L31" s="97">
        <v>1</v>
      </c>
      <c r="M31" s="97">
        <v>19</v>
      </c>
      <c r="N31" s="99">
        <f t="shared" si="3"/>
        <v>5.912740399576772E-2</v>
      </c>
      <c r="O31" s="97">
        <v>10</v>
      </c>
      <c r="P31" s="97">
        <v>10</v>
      </c>
      <c r="Q31" s="97">
        <v>22</v>
      </c>
      <c r="R31" s="97">
        <v>8</v>
      </c>
      <c r="S31" s="97">
        <v>6</v>
      </c>
      <c r="T31" s="97">
        <v>35</v>
      </c>
      <c r="U31" s="99">
        <f t="shared" si="0"/>
        <v>0.10891890209746685</v>
      </c>
      <c r="V31" s="97">
        <v>16</v>
      </c>
      <c r="W31" s="97">
        <v>8</v>
      </c>
      <c r="X31" s="97">
        <v>39</v>
      </c>
      <c r="Y31" s="97">
        <v>12</v>
      </c>
      <c r="Z31" s="97">
        <v>1</v>
      </c>
      <c r="AA31" s="97">
        <v>19</v>
      </c>
      <c r="AB31" s="99">
        <f t="shared" si="1"/>
        <v>5.912740399576772E-2</v>
      </c>
      <c r="AC31" s="101">
        <v>12</v>
      </c>
      <c r="AD31" s="101">
        <v>1</v>
      </c>
      <c r="AE31" s="101">
        <v>249</v>
      </c>
    </row>
    <row r="32" spans="1:31" ht="14.4" thickBot="1" x14ac:dyDescent="0.3">
      <c r="A32" s="89" t="s">
        <v>18</v>
      </c>
      <c r="B32" s="97">
        <v>2232</v>
      </c>
      <c r="C32" s="97">
        <v>1239</v>
      </c>
      <c r="D32" s="97">
        <v>1878</v>
      </c>
      <c r="E32" s="97">
        <v>1798</v>
      </c>
      <c r="F32" s="97">
        <v>3064</v>
      </c>
      <c r="G32" s="98">
        <v>10538</v>
      </c>
      <c r="H32" s="97">
        <v>7</v>
      </c>
      <c r="I32" s="97">
        <v>1</v>
      </c>
      <c r="J32" s="97">
        <v>2</v>
      </c>
      <c r="K32" s="97">
        <v>12</v>
      </c>
      <c r="L32" s="97">
        <v>1</v>
      </c>
      <c r="M32" s="97">
        <v>9</v>
      </c>
      <c r="N32" s="99">
        <f t="shared" si="3"/>
        <v>8.5405200227747197E-2</v>
      </c>
      <c r="O32" s="97">
        <v>5</v>
      </c>
      <c r="P32" s="97">
        <v>5</v>
      </c>
      <c r="Q32" s="97">
        <v>8</v>
      </c>
      <c r="R32" s="97">
        <v>7</v>
      </c>
      <c r="S32" s="97">
        <v>4</v>
      </c>
      <c r="T32" s="97">
        <v>17</v>
      </c>
      <c r="U32" s="99">
        <f t="shared" si="0"/>
        <v>0.16132093376352249</v>
      </c>
      <c r="V32" s="97">
        <v>2</v>
      </c>
      <c r="W32" s="97">
        <v>2</v>
      </c>
      <c r="X32" s="97">
        <v>15</v>
      </c>
      <c r="Y32" s="97">
        <v>1</v>
      </c>
      <c r="Z32" s="97">
        <v>2</v>
      </c>
      <c r="AA32" s="97">
        <v>9</v>
      </c>
      <c r="AB32" s="99">
        <f t="shared" si="1"/>
        <v>8.5405200227747197E-2</v>
      </c>
      <c r="AC32" s="101">
        <v>3</v>
      </c>
      <c r="AD32" s="101">
        <v>0</v>
      </c>
      <c r="AE32" s="101">
        <v>68</v>
      </c>
    </row>
    <row r="33" spans="1:31" ht="14.4" thickBot="1" x14ac:dyDescent="0.3">
      <c r="A33" s="89" t="s">
        <v>19</v>
      </c>
      <c r="B33" s="97">
        <v>9246</v>
      </c>
      <c r="C33" s="97">
        <v>5517</v>
      </c>
      <c r="D33" s="97">
        <v>11932</v>
      </c>
      <c r="E33" s="97">
        <v>10167</v>
      </c>
      <c r="F33" s="97">
        <v>5609</v>
      </c>
      <c r="G33" s="98">
        <v>45973</v>
      </c>
      <c r="H33" s="97">
        <v>32</v>
      </c>
      <c r="I33" s="97">
        <v>18</v>
      </c>
      <c r="J33" s="97">
        <v>54</v>
      </c>
      <c r="K33" s="97">
        <v>33</v>
      </c>
      <c r="L33" s="97">
        <v>3</v>
      </c>
      <c r="M33" s="97">
        <v>99</v>
      </c>
      <c r="N33" s="99">
        <f t="shared" si="3"/>
        <v>0.21534378874556806</v>
      </c>
      <c r="O33" s="97">
        <v>48</v>
      </c>
      <c r="P33" s="97">
        <v>35</v>
      </c>
      <c r="Q33" s="97">
        <v>112</v>
      </c>
      <c r="R33" s="97">
        <v>34</v>
      </c>
      <c r="S33" s="97">
        <v>30</v>
      </c>
      <c r="T33" s="97">
        <v>199</v>
      </c>
      <c r="U33" s="99">
        <f t="shared" si="0"/>
        <v>0.43286276727644485</v>
      </c>
      <c r="V33" s="97">
        <v>40</v>
      </c>
      <c r="W33" s="97">
        <v>40</v>
      </c>
      <c r="X33" s="97">
        <v>86</v>
      </c>
      <c r="Y33" s="97">
        <v>43</v>
      </c>
      <c r="Z33" s="97">
        <v>2</v>
      </c>
      <c r="AA33" s="97">
        <v>101</v>
      </c>
      <c r="AB33" s="99">
        <f t="shared" si="1"/>
        <v>0.2196941683161856</v>
      </c>
      <c r="AC33" s="101">
        <v>73</v>
      </c>
      <c r="AD33" s="101">
        <v>14</v>
      </c>
      <c r="AE33" s="101">
        <v>602</v>
      </c>
    </row>
    <row r="34" spans="1:31" ht="14.4" thickBot="1" x14ac:dyDescent="0.3">
      <c r="A34" s="89" t="s">
        <v>20</v>
      </c>
      <c r="B34" s="97">
        <v>5442</v>
      </c>
      <c r="C34" s="97">
        <v>3534</v>
      </c>
      <c r="D34" s="97">
        <v>8238</v>
      </c>
      <c r="E34" s="97">
        <v>7812</v>
      </c>
      <c r="F34" s="97">
        <v>3711</v>
      </c>
      <c r="G34" s="98">
        <v>30151</v>
      </c>
      <c r="H34" s="97">
        <v>21</v>
      </c>
      <c r="I34" s="97">
        <v>6</v>
      </c>
      <c r="J34" s="97">
        <v>22</v>
      </c>
      <c r="K34" s="97">
        <v>12</v>
      </c>
      <c r="L34" s="97">
        <v>2</v>
      </c>
      <c r="M34" s="97">
        <v>64</v>
      </c>
      <c r="N34" s="99">
        <f t="shared" si="3"/>
        <v>0.21226493316971246</v>
      </c>
      <c r="O34" s="97">
        <v>27</v>
      </c>
      <c r="P34" s="97">
        <v>8</v>
      </c>
      <c r="Q34" s="97">
        <v>37</v>
      </c>
      <c r="R34" s="97">
        <v>27</v>
      </c>
      <c r="S34" s="97">
        <v>5</v>
      </c>
      <c r="T34" s="97">
        <v>126</v>
      </c>
      <c r="U34" s="99">
        <f t="shared" si="0"/>
        <v>0.41789658717787137</v>
      </c>
      <c r="V34" s="97">
        <v>7</v>
      </c>
      <c r="W34" s="97">
        <v>14</v>
      </c>
      <c r="X34" s="97">
        <v>51</v>
      </c>
      <c r="Y34" s="97">
        <v>30</v>
      </c>
      <c r="Z34" s="97">
        <v>2</v>
      </c>
      <c r="AA34" s="97">
        <v>72</v>
      </c>
      <c r="AB34" s="99">
        <f t="shared" si="1"/>
        <v>0.23879804981592651</v>
      </c>
      <c r="AC34" s="101">
        <v>115</v>
      </c>
      <c r="AD34" s="101">
        <v>1</v>
      </c>
      <c r="AE34" s="101">
        <v>476</v>
      </c>
    </row>
    <row r="35" spans="1:31" ht="14.4" thickBot="1" x14ac:dyDescent="0.3">
      <c r="A35" s="89" t="s">
        <v>25</v>
      </c>
      <c r="B35" s="97"/>
      <c r="C35" s="97"/>
      <c r="D35" s="97"/>
      <c r="E35" s="97"/>
      <c r="F35" s="97"/>
      <c r="G35" s="98">
        <v>288</v>
      </c>
      <c r="H35" s="97"/>
      <c r="I35" s="97"/>
      <c r="J35" s="97"/>
      <c r="K35" s="97"/>
      <c r="L35" s="97"/>
      <c r="M35" s="97">
        <v>3</v>
      </c>
      <c r="N35" s="99">
        <f t="shared" si="3"/>
        <v>1.0416666666666667</v>
      </c>
      <c r="O35" s="97"/>
      <c r="P35" s="97"/>
      <c r="Q35" s="97"/>
      <c r="R35" s="97"/>
      <c r="S35" s="97"/>
      <c r="T35" s="97">
        <v>0</v>
      </c>
      <c r="U35" s="99">
        <f t="shared" si="0"/>
        <v>0</v>
      </c>
      <c r="V35" s="97"/>
      <c r="W35" s="97"/>
      <c r="X35" s="97"/>
      <c r="Y35" s="97"/>
      <c r="Z35" s="97"/>
      <c r="AA35" s="97">
        <v>0</v>
      </c>
      <c r="AB35" s="99">
        <f t="shared" si="1"/>
        <v>0</v>
      </c>
      <c r="AC35" s="101">
        <v>1</v>
      </c>
      <c r="AD35" s="101">
        <v>0</v>
      </c>
      <c r="AE35" s="101">
        <v>3</v>
      </c>
    </row>
    <row r="36" spans="1:31" ht="14.4" thickBot="1" x14ac:dyDescent="0.3">
      <c r="A36" s="89" t="s">
        <v>26</v>
      </c>
      <c r="B36" s="97">
        <v>48921</v>
      </c>
      <c r="C36" s="97">
        <v>32891</v>
      </c>
      <c r="D36" s="97">
        <v>67606</v>
      </c>
      <c r="E36" s="97">
        <v>67129</v>
      </c>
      <c r="F36" s="97">
        <v>37040</v>
      </c>
      <c r="G36" s="98">
        <v>265970</v>
      </c>
      <c r="H36" s="97">
        <v>86</v>
      </c>
      <c r="I36" s="97">
        <v>53</v>
      </c>
      <c r="J36" s="97">
        <v>136</v>
      </c>
      <c r="K36" s="97">
        <v>79</v>
      </c>
      <c r="L36" s="97">
        <v>25</v>
      </c>
      <c r="M36" s="97">
        <v>256</v>
      </c>
      <c r="N36" s="99">
        <f t="shared" si="3"/>
        <v>9.625145693123284E-2</v>
      </c>
      <c r="O36" s="97">
        <v>160</v>
      </c>
      <c r="P36" s="97">
        <v>61</v>
      </c>
      <c r="Q36" s="97">
        <v>270</v>
      </c>
      <c r="R36" s="97">
        <v>149</v>
      </c>
      <c r="S36" s="97">
        <v>52</v>
      </c>
      <c r="T36" s="97">
        <v>544</v>
      </c>
      <c r="U36" s="99">
        <f t="shared" si="0"/>
        <v>0.2045343459788698</v>
      </c>
      <c r="V36" s="97">
        <v>133</v>
      </c>
      <c r="W36" s="97">
        <v>68</v>
      </c>
      <c r="X36" s="97">
        <v>354</v>
      </c>
      <c r="Y36" s="97">
        <v>193</v>
      </c>
      <c r="Z36" s="97">
        <v>62</v>
      </c>
      <c r="AA36" s="97">
        <v>375</v>
      </c>
      <c r="AB36" s="99">
        <f t="shared" si="1"/>
        <v>0.1409933451141106</v>
      </c>
      <c r="AC36" s="101">
        <v>111</v>
      </c>
      <c r="AD36" s="101">
        <v>28</v>
      </c>
      <c r="AE36" s="97">
        <v>2903</v>
      </c>
    </row>
    <row r="37" spans="1:31" s="132" customFormat="1" ht="14.4" thickBot="1" x14ac:dyDescent="0.3">
      <c r="A37" s="128" t="s">
        <v>21</v>
      </c>
      <c r="B37" s="111">
        <f>SUM(B28:B36)</f>
        <v>76797</v>
      </c>
      <c r="C37" s="111">
        <f>SUM(C28:C36)</f>
        <v>49520</v>
      </c>
      <c r="D37" s="111">
        <f>SUM(D28:D36)</f>
        <v>103887</v>
      </c>
      <c r="E37" s="111">
        <f>SUM(E28:E36)</f>
        <v>99388</v>
      </c>
      <c r="F37" s="111">
        <f>SUM(F28:F36)</f>
        <v>59235</v>
      </c>
      <c r="G37" s="102">
        <v>409699</v>
      </c>
      <c r="H37" s="111">
        <f>SUM(H28:H36)</f>
        <v>161</v>
      </c>
      <c r="I37" s="111">
        <f>SUM(I28:I36)</f>
        <v>88</v>
      </c>
      <c r="J37" s="111">
        <f>SUM(J28:J36)</f>
        <v>247</v>
      </c>
      <c r="K37" s="111">
        <f>SUM(K28:K36)</f>
        <v>145</v>
      </c>
      <c r="L37" s="111">
        <f>SUM(L28:L36)</f>
        <v>34</v>
      </c>
      <c r="M37" s="103">
        <v>483</v>
      </c>
      <c r="N37" s="104">
        <f t="shared" si="3"/>
        <v>0.11789142760904957</v>
      </c>
      <c r="O37" s="111">
        <f>SUM(O28:O36)</f>
        <v>273</v>
      </c>
      <c r="P37" s="111">
        <f>SUM(P28:P36)</f>
        <v>123</v>
      </c>
      <c r="Q37" s="111">
        <f>SUM(Q28:Q36)</f>
        <v>480</v>
      </c>
      <c r="R37" s="111">
        <f>SUM(R28:R36)</f>
        <v>231</v>
      </c>
      <c r="S37" s="111">
        <f>SUM(S28:S36)</f>
        <v>99</v>
      </c>
      <c r="T37" s="103">
        <v>980</v>
      </c>
      <c r="U37" s="104">
        <f t="shared" si="0"/>
        <v>0.23919999804734696</v>
      </c>
      <c r="V37" s="111">
        <f>SUM(V28:V36)</f>
        <v>209</v>
      </c>
      <c r="W37" s="111">
        <f>SUM(W28:W36)</f>
        <v>136</v>
      </c>
      <c r="X37" s="111">
        <f>SUM(X28:X36)</f>
        <v>579</v>
      </c>
      <c r="Y37" s="111">
        <f>SUM(Y28:Y36)</f>
        <v>286</v>
      </c>
      <c r="Z37" s="111">
        <f>SUM(Z28:Z36)</f>
        <v>72</v>
      </c>
      <c r="AA37" s="103">
        <v>980</v>
      </c>
      <c r="AB37" s="104">
        <f t="shared" si="1"/>
        <v>0.23919999804734696</v>
      </c>
      <c r="AC37" s="107">
        <f>SUM(AC28:AC36)</f>
        <v>331</v>
      </c>
      <c r="AD37" s="107">
        <f t="shared" ref="AD37:AE37" si="6">SUM(AD28:AD36)</f>
        <v>46</v>
      </c>
      <c r="AE37" s="107">
        <f t="shared" si="6"/>
        <v>4512</v>
      </c>
    </row>
    <row r="38" spans="1:31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1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1" ht="14.4" thickBot="1" x14ac:dyDescent="0.3">
      <c r="A40" s="89" t="s">
        <v>40</v>
      </c>
      <c r="B40" s="97"/>
      <c r="C40" s="97"/>
      <c r="D40" s="97"/>
      <c r="E40" s="97"/>
      <c r="F40" s="97"/>
      <c r="G40" s="98">
        <v>178</v>
      </c>
      <c r="H40" s="97"/>
      <c r="I40" s="97"/>
      <c r="J40" s="97"/>
      <c r="K40" s="97"/>
      <c r="L40" s="120"/>
      <c r="M40" s="97">
        <v>0</v>
      </c>
      <c r="N40" s="99">
        <f t="shared" si="3"/>
        <v>0</v>
      </c>
      <c r="O40" s="97"/>
      <c r="P40" s="97"/>
      <c r="Q40" s="97"/>
      <c r="R40" s="97"/>
      <c r="S40" s="97"/>
      <c r="T40" s="97">
        <v>0</v>
      </c>
      <c r="U40" s="99">
        <f t="shared" si="0"/>
        <v>0</v>
      </c>
      <c r="V40" s="133"/>
      <c r="W40" s="133"/>
      <c r="X40" s="133"/>
      <c r="Y40" s="133"/>
      <c r="Z40" s="133"/>
      <c r="AA40" s="101">
        <v>0</v>
      </c>
      <c r="AB40" s="99">
        <f t="shared" si="1"/>
        <v>0</v>
      </c>
      <c r="AC40" s="101">
        <v>0</v>
      </c>
      <c r="AD40" s="101">
        <v>0</v>
      </c>
      <c r="AE40" s="101">
        <v>1</v>
      </c>
    </row>
    <row r="41" spans="1:31" ht="14.4" thickBot="1" x14ac:dyDescent="0.3">
      <c r="A41" s="89" t="s">
        <v>27</v>
      </c>
      <c r="B41" s="97">
        <v>49382</v>
      </c>
      <c r="C41" s="97">
        <v>38536</v>
      </c>
      <c r="D41" s="109">
        <v>55854</v>
      </c>
      <c r="E41" s="97">
        <v>55288</v>
      </c>
      <c r="F41" s="97">
        <v>47258</v>
      </c>
      <c r="G41" s="98">
        <v>249575</v>
      </c>
      <c r="H41" s="97">
        <v>25</v>
      </c>
      <c r="I41" s="97">
        <v>18</v>
      </c>
      <c r="J41" s="97">
        <v>14</v>
      </c>
      <c r="K41" s="97">
        <v>24</v>
      </c>
      <c r="L41" s="97">
        <v>6</v>
      </c>
      <c r="M41" s="97">
        <v>84</v>
      </c>
      <c r="N41" s="99">
        <f t="shared" si="3"/>
        <v>3.3657217269357907E-2</v>
      </c>
      <c r="O41" s="97">
        <v>27</v>
      </c>
      <c r="P41" s="97">
        <v>19</v>
      </c>
      <c r="Q41" s="97">
        <v>19</v>
      </c>
      <c r="R41" s="97">
        <v>18</v>
      </c>
      <c r="S41" s="97">
        <v>8</v>
      </c>
      <c r="T41" s="97">
        <v>67</v>
      </c>
      <c r="U41" s="99">
        <f t="shared" si="0"/>
        <v>2.6845637583892617E-2</v>
      </c>
      <c r="V41" s="109">
        <v>147</v>
      </c>
      <c r="W41" s="109">
        <v>32</v>
      </c>
      <c r="X41" s="133">
        <v>92</v>
      </c>
      <c r="Y41" s="133">
        <v>70</v>
      </c>
      <c r="Z41" s="133">
        <v>49</v>
      </c>
      <c r="AA41" s="97">
        <v>35</v>
      </c>
      <c r="AB41" s="99">
        <f t="shared" si="1"/>
        <v>1.4023840528899129E-2</v>
      </c>
      <c r="AC41" s="101">
        <v>13</v>
      </c>
      <c r="AD41" s="101">
        <v>4</v>
      </c>
      <c r="AE41" s="101">
        <v>359</v>
      </c>
    </row>
    <row r="42" spans="1:31" s="132" customFormat="1" ht="14.4" thickBot="1" x14ac:dyDescent="0.3">
      <c r="A42" s="128" t="s">
        <v>21</v>
      </c>
      <c r="B42" s="111">
        <f>SUM(B40:B41)</f>
        <v>49382</v>
      </c>
      <c r="C42" s="111">
        <f t="shared" ref="C42:F42" si="7">SUM(C40:C41)</f>
        <v>38536</v>
      </c>
      <c r="D42" s="111">
        <f t="shared" si="7"/>
        <v>55854</v>
      </c>
      <c r="E42" s="111">
        <f t="shared" si="7"/>
        <v>55288</v>
      </c>
      <c r="F42" s="111">
        <f t="shared" si="7"/>
        <v>47258</v>
      </c>
      <c r="G42" s="102">
        <v>249753</v>
      </c>
      <c r="H42" s="111">
        <f>SUM(H40:H41)</f>
        <v>25</v>
      </c>
      <c r="I42" s="111">
        <f t="shared" ref="I42:L42" si="8">SUM(I40:I41)</f>
        <v>18</v>
      </c>
      <c r="J42" s="111">
        <f t="shared" si="8"/>
        <v>14</v>
      </c>
      <c r="K42" s="111">
        <f t="shared" si="8"/>
        <v>24</v>
      </c>
      <c r="L42" s="111">
        <f t="shared" si="8"/>
        <v>6</v>
      </c>
      <c r="M42" s="103">
        <v>84</v>
      </c>
      <c r="N42" s="104">
        <f t="shared" si="3"/>
        <v>3.3633229630875304E-2</v>
      </c>
      <c r="O42" s="111">
        <f>SUM(O40:O41)</f>
        <v>27</v>
      </c>
      <c r="P42" s="111">
        <f t="shared" ref="P42:S42" si="9">SUM(P40:P41)</f>
        <v>19</v>
      </c>
      <c r="Q42" s="111">
        <f t="shared" si="9"/>
        <v>19</v>
      </c>
      <c r="R42" s="111">
        <f t="shared" si="9"/>
        <v>18</v>
      </c>
      <c r="S42" s="111">
        <f t="shared" si="9"/>
        <v>8</v>
      </c>
      <c r="T42" s="103">
        <v>67</v>
      </c>
      <c r="U42" s="104">
        <f t="shared" si="0"/>
        <v>2.6826504586531495E-2</v>
      </c>
      <c r="V42" s="111">
        <f>SUM(V40:V41)</f>
        <v>147</v>
      </c>
      <c r="W42" s="111">
        <f t="shared" ref="W42:Z42" si="10">SUM(W40:W41)</f>
        <v>32</v>
      </c>
      <c r="X42" s="111">
        <f t="shared" si="10"/>
        <v>92</v>
      </c>
      <c r="Y42" s="111">
        <f t="shared" si="10"/>
        <v>70</v>
      </c>
      <c r="Z42" s="111">
        <f t="shared" si="10"/>
        <v>49</v>
      </c>
      <c r="AA42" s="106">
        <v>35</v>
      </c>
      <c r="AB42" s="104">
        <f t="shared" si="1"/>
        <v>1.4013845679531378E-2</v>
      </c>
      <c r="AC42" s="107">
        <f>SUM(AC40:AC41)</f>
        <v>13</v>
      </c>
      <c r="AD42" s="107">
        <f>SUM(AD40:AD41)</f>
        <v>4</v>
      </c>
      <c r="AE42" s="107">
        <f>SUM(AE40:AE41)</f>
        <v>360</v>
      </c>
    </row>
    <row r="43" spans="1:31" ht="16.2" thickBot="1" x14ac:dyDescent="0.3">
      <c r="A43" s="121" t="s">
        <v>48</v>
      </c>
      <c r="B43" s="138">
        <f>B11+B25+B37+B42</f>
        <v>131477</v>
      </c>
      <c r="C43" s="134">
        <f>C11+C25+C37+C42</f>
        <v>89957</v>
      </c>
      <c r="D43" s="138">
        <f>D11+D25+D37+D42</f>
        <v>167216</v>
      </c>
      <c r="E43" s="134">
        <f>SUM(B43:D43)</f>
        <v>388650</v>
      </c>
      <c r="F43" s="134">
        <f t="shared" ref="F43" si="11">F11+F25+F37+F42</f>
        <v>109560</v>
      </c>
      <c r="G43" s="122">
        <f>G11+G25+G37+G42</f>
        <v>681540</v>
      </c>
      <c r="H43" s="122">
        <f t="shared" ref="H43:AE43" si="12">H11+H25+H37+H42</f>
        <v>201</v>
      </c>
      <c r="I43" s="122">
        <f t="shared" si="12"/>
        <v>109</v>
      </c>
      <c r="J43" s="122">
        <f t="shared" si="12"/>
        <v>281</v>
      </c>
      <c r="K43" s="122">
        <f t="shared" si="12"/>
        <v>184</v>
      </c>
      <c r="L43" s="122">
        <f t="shared" si="12"/>
        <v>41</v>
      </c>
      <c r="M43" s="122">
        <f t="shared" si="12"/>
        <v>660</v>
      </c>
      <c r="N43" s="123">
        <f t="shared" si="3"/>
        <v>9.6839510520292285E-2</v>
      </c>
      <c r="O43" s="122">
        <f t="shared" si="12"/>
        <v>339</v>
      </c>
      <c r="P43" s="122">
        <f t="shared" si="12"/>
        <v>149</v>
      </c>
      <c r="Q43" s="122">
        <f t="shared" si="12"/>
        <v>571</v>
      </c>
      <c r="R43" s="122">
        <f t="shared" si="12"/>
        <v>280</v>
      </c>
      <c r="S43" s="122">
        <f t="shared" si="12"/>
        <v>117</v>
      </c>
      <c r="T43" s="122">
        <f t="shared" si="12"/>
        <v>1154</v>
      </c>
      <c r="U43" s="123">
        <f t="shared" si="0"/>
        <v>0.16932241687942012</v>
      </c>
      <c r="V43" s="122">
        <f t="shared" si="12"/>
        <v>377</v>
      </c>
      <c r="W43" s="122">
        <f t="shared" si="12"/>
        <v>177</v>
      </c>
      <c r="X43" s="122">
        <f t="shared" si="12"/>
        <v>813</v>
      </c>
      <c r="Y43" s="122">
        <f t="shared" si="12"/>
        <v>382</v>
      </c>
      <c r="Z43" s="122">
        <f t="shared" si="12"/>
        <v>128</v>
      </c>
      <c r="AA43" s="122">
        <f t="shared" si="12"/>
        <v>1122</v>
      </c>
      <c r="AB43" s="123">
        <f t="shared" si="1"/>
        <v>0.16462716788449688</v>
      </c>
      <c r="AC43" s="122">
        <f>AC11+AC25+AC37+AC42</f>
        <v>406</v>
      </c>
      <c r="AD43" s="122">
        <f t="shared" si="12"/>
        <v>74</v>
      </c>
      <c r="AE43" s="122">
        <f t="shared" si="12"/>
        <v>5716</v>
      </c>
    </row>
  </sheetData>
  <mergeCells count="9">
    <mergeCell ref="N3:N4"/>
    <mergeCell ref="A1:AE1"/>
    <mergeCell ref="A3:A4"/>
    <mergeCell ref="B3:G3"/>
    <mergeCell ref="H3:M3"/>
    <mergeCell ref="O3:T3"/>
    <mergeCell ref="U3:U4"/>
    <mergeCell ref="AB3:AB4"/>
    <mergeCell ref="V3:AA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0098-4B29-417F-924D-C415C3203AE4}">
  <dimension ref="A1:AE4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C37" sqref="AC37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112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118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196</v>
      </c>
      <c r="C6" s="97">
        <v>69</v>
      </c>
      <c r="D6" s="97">
        <v>268</v>
      </c>
      <c r="E6" s="137">
        <v>94</v>
      </c>
      <c r="F6" s="97">
        <v>145</v>
      </c>
      <c r="G6" s="98">
        <v>550</v>
      </c>
      <c r="H6" s="97">
        <v>2</v>
      </c>
      <c r="I6" s="97">
        <v>0</v>
      </c>
      <c r="J6" s="97">
        <v>0</v>
      </c>
      <c r="K6" s="97">
        <v>0</v>
      </c>
      <c r="L6" s="97">
        <v>0</v>
      </c>
      <c r="M6" s="101">
        <v>2</v>
      </c>
      <c r="N6" s="99">
        <f>M6*100/G6</f>
        <v>0.36363636363636365</v>
      </c>
      <c r="O6" s="97">
        <v>0</v>
      </c>
      <c r="P6" s="97">
        <v>0</v>
      </c>
      <c r="Q6" s="97">
        <v>2</v>
      </c>
      <c r="R6" s="97">
        <v>0</v>
      </c>
      <c r="S6" s="97">
        <v>1</v>
      </c>
      <c r="T6" s="101">
        <v>7</v>
      </c>
      <c r="U6" s="99">
        <f>T6*100/G6</f>
        <v>1.2727272727272727</v>
      </c>
      <c r="V6" s="97">
        <v>2</v>
      </c>
      <c r="W6" s="97">
        <v>2</v>
      </c>
      <c r="X6" s="97">
        <v>6</v>
      </c>
      <c r="Y6" s="97">
        <v>0</v>
      </c>
      <c r="Z6" s="97">
        <v>0</v>
      </c>
      <c r="AA6" s="97">
        <v>3</v>
      </c>
      <c r="AB6" s="99">
        <f>AA6*100/G6</f>
        <v>0.54545454545454541</v>
      </c>
      <c r="AC6" s="101">
        <v>3</v>
      </c>
      <c r="AD6" s="101">
        <v>1</v>
      </c>
      <c r="AE6" s="101">
        <v>15</v>
      </c>
    </row>
    <row r="7" spans="1:31" ht="14.4" thickBot="1" x14ac:dyDescent="0.3">
      <c r="A7" s="90" t="s">
        <v>2</v>
      </c>
      <c r="B7" s="97">
        <v>1358</v>
      </c>
      <c r="C7" s="97">
        <v>371</v>
      </c>
      <c r="D7" s="97">
        <v>1721</v>
      </c>
      <c r="E7" s="137">
        <v>1418</v>
      </c>
      <c r="F7" s="97">
        <v>713</v>
      </c>
      <c r="G7" s="98">
        <v>4258</v>
      </c>
      <c r="H7" s="97">
        <v>1</v>
      </c>
      <c r="I7" s="97">
        <v>1</v>
      </c>
      <c r="J7" s="97">
        <v>9</v>
      </c>
      <c r="K7" s="97">
        <v>1</v>
      </c>
      <c r="L7" s="97">
        <v>0</v>
      </c>
      <c r="M7" s="97">
        <v>11</v>
      </c>
      <c r="N7" s="99">
        <f>M7*100/G7</f>
        <v>0.25833724753405357</v>
      </c>
      <c r="O7" s="97">
        <v>13</v>
      </c>
      <c r="P7" s="97">
        <v>3</v>
      </c>
      <c r="Q7" s="97">
        <v>17</v>
      </c>
      <c r="R7" s="97">
        <v>8</v>
      </c>
      <c r="S7" s="97">
        <v>4</v>
      </c>
      <c r="T7" s="97">
        <v>25</v>
      </c>
      <c r="U7" s="99">
        <f>T7*100/G7</f>
        <v>0.58713010803193988</v>
      </c>
      <c r="V7" s="97">
        <v>8</v>
      </c>
      <c r="W7" s="97">
        <v>1</v>
      </c>
      <c r="X7" s="97">
        <v>33</v>
      </c>
      <c r="Y7" s="97">
        <v>6</v>
      </c>
      <c r="Z7" s="97">
        <v>4</v>
      </c>
      <c r="AA7" s="97">
        <v>3</v>
      </c>
      <c r="AB7" s="99">
        <f>AA7*100/G7</f>
        <v>7.0455612963832792E-2</v>
      </c>
      <c r="AC7" s="101">
        <v>7</v>
      </c>
      <c r="AD7" s="101">
        <v>3</v>
      </c>
      <c r="AE7" s="101">
        <v>163</v>
      </c>
    </row>
    <row r="8" spans="1:31" ht="14.4" thickBot="1" x14ac:dyDescent="0.3">
      <c r="A8" s="90" t="s">
        <v>14</v>
      </c>
      <c r="B8" s="97">
        <v>153</v>
      </c>
      <c r="C8" s="97">
        <v>87</v>
      </c>
      <c r="D8" s="97">
        <v>245</v>
      </c>
      <c r="E8" s="137">
        <v>162</v>
      </c>
      <c r="F8" s="97">
        <v>84</v>
      </c>
      <c r="G8" s="98">
        <v>623</v>
      </c>
      <c r="H8" s="97">
        <v>1</v>
      </c>
      <c r="I8" s="97">
        <v>0</v>
      </c>
      <c r="J8" s="97">
        <v>0</v>
      </c>
      <c r="K8" s="97">
        <v>0</v>
      </c>
      <c r="L8" s="97">
        <v>0</v>
      </c>
      <c r="M8" s="101">
        <v>0</v>
      </c>
      <c r="N8" s="99">
        <f>M8*100/G8</f>
        <v>0</v>
      </c>
      <c r="O8" s="97">
        <v>0</v>
      </c>
      <c r="P8" s="97">
        <v>0</v>
      </c>
      <c r="Q8" s="97">
        <v>1</v>
      </c>
      <c r="R8" s="97">
        <v>0</v>
      </c>
      <c r="S8" s="97">
        <v>0</v>
      </c>
      <c r="T8" s="101">
        <v>3</v>
      </c>
      <c r="U8" s="99">
        <f t="shared" ref="U8:U43" si="0">T8*100/G8</f>
        <v>0.48154093097913325</v>
      </c>
      <c r="V8" s="97">
        <v>1</v>
      </c>
      <c r="W8" s="97">
        <v>0</v>
      </c>
      <c r="X8" s="97">
        <v>6</v>
      </c>
      <c r="Y8" s="97">
        <v>0</v>
      </c>
      <c r="Z8" s="97">
        <v>0</v>
      </c>
      <c r="AA8" s="97">
        <v>1</v>
      </c>
      <c r="AB8" s="99">
        <f t="shared" ref="AB8:AB43" si="1">AA8*100/G8</f>
        <v>0.16051364365971107</v>
      </c>
      <c r="AC8" s="101">
        <v>0</v>
      </c>
      <c r="AD8" s="101">
        <v>1</v>
      </c>
      <c r="AE8" s="101">
        <v>12</v>
      </c>
    </row>
    <row r="9" spans="1:31" ht="14.4" thickBot="1" x14ac:dyDescent="0.3">
      <c r="A9" s="90" t="s">
        <v>3</v>
      </c>
      <c r="B9" s="97">
        <v>147</v>
      </c>
      <c r="C9" s="97">
        <v>85</v>
      </c>
      <c r="D9" s="97">
        <v>268</v>
      </c>
      <c r="E9" s="137">
        <v>243</v>
      </c>
      <c r="F9" s="97">
        <v>94</v>
      </c>
      <c r="G9" s="98">
        <v>696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1</v>
      </c>
      <c r="N9" s="99">
        <f>M9*100/G9</f>
        <v>0.14367816091954022</v>
      </c>
      <c r="O9" s="97">
        <v>3</v>
      </c>
      <c r="P9" s="97">
        <v>0</v>
      </c>
      <c r="Q9" s="97">
        <v>5</v>
      </c>
      <c r="R9" s="97">
        <v>2</v>
      </c>
      <c r="S9" s="97">
        <v>0</v>
      </c>
      <c r="T9" s="97">
        <v>1</v>
      </c>
      <c r="U9" s="99">
        <f t="shared" si="0"/>
        <v>0.14367816091954022</v>
      </c>
      <c r="V9" s="97">
        <v>0</v>
      </c>
      <c r="W9" s="97">
        <v>0</v>
      </c>
      <c r="X9" s="97">
        <v>6</v>
      </c>
      <c r="Y9" s="97">
        <v>3</v>
      </c>
      <c r="Z9" s="97">
        <v>1</v>
      </c>
      <c r="AA9" s="97">
        <v>1</v>
      </c>
      <c r="AB9" s="99">
        <f t="shared" si="1"/>
        <v>0.14367816091954022</v>
      </c>
      <c r="AC9" s="101">
        <v>2</v>
      </c>
      <c r="AD9" s="101">
        <v>0</v>
      </c>
      <c r="AE9" s="101">
        <v>17</v>
      </c>
    </row>
    <row r="10" spans="1:31" ht="23.4" thickBot="1" x14ac:dyDescent="0.3">
      <c r="A10" s="139" t="s">
        <v>23</v>
      </c>
      <c r="B10" s="97">
        <v>1074</v>
      </c>
      <c r="C10" s="97">
        <v>243</v>
      </c>
      <c r="D10" s="97">
        <v>1310</v>
      </c>
      <c r="E10" s="137">
        <v>752</v>
      </c>
      <c r="F10" s="97">
        <v>524</v>
      </c>
      <c r="G10" s="98">
        <v>3936</v>
      </c>
      <c r="H10" s="97">
        <v>4</v>
      </c>
      <c r="I10" s="97">
        <v>0</v>
      </c>
      <c r="J10" s="97">
        <v>2</v>
      </c>
      <c r="K10" s="97">
        <v>3</v>
      </c>
      <c r="L10" s="97">
        <v>0</v>
      </c>
      <c r="M10" s="97">
        <v>7</v>
      </c>
      <c r="N10" s="99">
        <f>M10*100/G10</f>
        <v>0.17784552845528456</v>
      </c>
      <c r="O10" s="97">
        <v>15</v>
      </c>
      <c r="P10" s="97">
        <v>0</v>
      </c>
      <c r="Q10" s="97">
        <v>7</v>
      </c>
      <c r="R10" s="97">
        <v>11</v>
      </c>
      <c r="S10" s="97">
        <v>2</v>
      </c>
      <c r="T10" s="100">
        <v>18</v>
      </c>
      <c r="U10" s="99">
        <f t="shared" si="0"/>
        <v>0.45731707317073172</v>
      </c>
      <c r="V10" s="97">
        <v>7</v>
      </c>
      <c r="W10" s="97">
        <v>2</v>
      </c>
      <c r="X10" s="97">
        <v>17</v>
      </c>
      <c r="Y10" s="97">
        <v>0</v>
      </c>
      <c r="Z10" s="97">
        <v>0</v>
      </c>
      <c r="AA10" s="97">
        <v>1</v>
      </c>
      <c r="AB10" s="99">
        <f t="shared" si="1"/>
        <v>2.540650406504065E-2</v>
      </c>
      <c r="AC10" s="101">
        <v>5</v>
      </c>
      <c r="AD10" s="101">
        <v>1</v>
      </c>
      <c r="AE10" s="101">
        <v>116</v>
      </c>
    </row>
    <row r="11" spans="1:31" s="132" customFormat="1" ht="14.4" thickBot="1" x14ac:dyDescent="0.3">
      <c r="A11" s="124" t="s">
        <v>21</v>
      </c>
      <c r="B11" s="105">
        <f t="shared" ref="B11:L11" si="2">SUM(B6:B10)</f>
        <v>2928</v>
      </c>
      <c r="C11" s="105">
        <f t="shared" si="2"/>
        <v>855</v>
      </c>
      <c r="D11" s="105">
        <f t="shared" si="2"/>
        <v>3812</v>
      </c>
      <c r="E11" s="105">
        <f t="shared" si="2"/>
        <v>2669</v>
      </c>
      <c r="F11" s="105">
        <f t="shared" si="2"/>
        <v>1560</v>
      </c>
      <c r="G11" s="102">
        <v>10063</v>
      </c>
      <c r="H11" s="111">
        <f t="shared" si="2"/>
        <v>8</v>
      </c>
      <c r="I11" s="111">
        <f t="shared" si="2"/>
        <v>1</v>
      </c>
      <c r="J11" s="111">
        <f t="shared" si="2"/>
        <v>11</v>
      </c>
      <c r="K11" s="111">
        <f t="shared" si="2"/>
        <v>4</v>
      </c>
      <c r="L11" s="111">
        <f t="shared" si="2"/>
        <v>0</v>
      </c>
      <c r="M11" s="103">
        <v>21</v>
      </c>
      <c r="N11" s="104">
        <f t="shared" ref="N11:N43" si="3">M11*100/G11</f>
        <v>0.2086852827188711</v>
      </c>
      <c r="O11" s="105">
        <f>SUM(O7:O10)</f>
        <v>31</v>
      </c>
      <c r="P11" s="105">
        <f>SUM(P6:P10)</f>
        <v>3</v>
      </c>
      <c r="Q11" s="105">
        <f>SUM(Q6:Q10)</f>
        <v>32</v>
      </c>
      <c r="R11" s="105">
        <f>SUM(R6:R10)</f>
        <v>21</v>
      </c>
      <c r="S11" s="105">
        <f>SUM(S6:S10)</f>
        <v>7</v>
      </c>
      <c r="T11" s="103">
        <v>54</v>
      </c>
      <c r="U11" s="104">
        <f t="shared" si="0"/>
        <v>0.53661929841995426</v>
      </c>
      <c r="V11" s="105">
        <f>SUM(V7:V10)</f>
        <v>16</v>
      </c>
      <c r="W11" s="105">
        <f>SUM(W6:W10)</f>
        <v>5</v>
      </c>
      <c r="X11" s="105">
        <f>SUM(X6:X10)</f>
        <v>68</v>
      </c>
      <c r="Y11" s="105">
        <f>SUM(Y6:Y10)</f>
        <v>9</v>
      </c>
      <c r="Z11" s="105">
        <f>SUM(Z6:Z10)</f>
        <v>5</v>
      </c>
      <c r="AA11" s="103">
        <v>54</v>
      </c>
      <c r="AB11" s="104">
        <f t="shared" si="1"/>
        <v>0.53661929841995426</v>
      </c>
      <c r="AC11" s="107">
        <f>SUM(AC6:AC10)</f>
        <v>17</v>
      </c>
      <c r="AD11" s="107">
        <f t="shared" ref="AD11:AE11" si="4">SUM(AD6:AD10)</f>
        <v>6</v>
      </c>
      <c r="AE11" s="107">
        <f t="shared" si="4"/>
        <v>323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56</v>
      </c>
      <c r="C14" s="97">
        <v>6</v>
      </c>
      <c r="D14" s="97">
        <v>82</v>
      </c>
      <c r="E14" s="97">
        <v>25</v>
      </c>
      <c r="F14" s="97">
        <v>24</v>
      </c>
      <c r="G14" s="98">
        <v>107</v>
      </c>
      <c r="H14" s="97">
        <v>0</v>
      </c>
      <c r="I14" s="97">
        <v>0</v>
      </c>
      <c r="J14" s="97">
        <v>0</v>
      </c>
      <c r="K14" s="97">
        <v>1</v>
      </c>
      <c r="L14" s="97">
        <v>0</v>
      </c>
      <c r="M14" s="101">
        <v>2</v>
      </c>
      <c r="N14" s="99">
        <f t="shared" si="3"/>
        <v>1.8691588785046729</v>
      </c>
      <c r="O14" s="97">
        <v>0</v>
      </c>
      <c r="P14" s="97">
        <v>0</v>
      </c>
      <c r="Q14" s="97">
        <v>0</v>
      </c>
      <c r="R14" s="97">
        <v>1</v>
      </c>
      <c r="S14" s="97">
        <v>0</v>
      </c>
      <c r="T14" s="97">
        <v>1</v>
      </c>
      <c r="U14" s="99">
        <f t="shared" si="0"/>
        <v>0.93457943925233644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v>0</v>
      </c>
      <c r="AB14" s="99">
        <f t="shared" si="1"/>
        <v>0</v>
      </c>
      <c r="AC14" s="101">
        <v>0</v>
      </c>
      <c r="AD14" s="101">
        <v>0</v>
      </c>
      <c r="AE14" s="101">
        <v>3</v>
      </c>
    </row>
    <row r="15" spans="1:31" ht="14.4" thickBot="1" x14ac:dyDescent="0.3">
      <c r="A15" s="89" t="s">
        <v>5</v>
      </c>
      <c r="B15" s="97">
        <v>88</v>
      </c>
      <c r="C15" s="97">
        <v>31</v>
      </c>
      <c r="D15" s="97">
        <v>181</v>
      </c>
      <c r="E15" s="97">
        <v>190</v>
      </c>
      <c r="F15" s="97">
        <v>63</v>
      </c>
      <c r="G15" s="98">
        <v>711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1</v>
      </c>
      <c r="N15" s="99">
        <f t="shared" si="3"/>
        <v>0.14064697609001406</v>
      </c>
      <c r="O15" s="97">
        <v>0</v>
      </c>
      <c r="P15" s="97">
        <v>0</v>
      </c>
      <c r="Q15" s="97">
        <v>3</v>
      </c>
      <c r="R15" s="97">
        <v>2</v>
      </c>
      <c r="S15" s="97">
        <v>0</v>
      </c>
      <c r="T15" s="97">
        <v>13</v>
      </c>
      <c r="U15" s="99">
        <f t="shared" si="0"/>
        <v>1.8284106891701828</v>
      </c>
      <c r="V15" s="97">
        <v>0</v>
      </c>
      <c r="W15" s="97">
        <v>0</v>
      </c>
      <c r="X15" s="97">
        <v>0</v>
      </c>
      <c r="Y15" s="97">
        <v>3</v>
      </c>
      <c r="Z15" s="97">
        <v>1</v>
      </c>
      <c r="AA15" s="97">
        <v>2</v>
      </c>
      <c r="AB15" s="99">
        <f t="shared" si="1"/>
        <v>0.28129395218002812</v>
      </c>
      <c r="AC15" s="101">
        <v>8</v>
      </c>
      <c r="AD15" s="101">
        <v>0</v>
      </c>
      <c r="AE15" s="101">
        <v>28</v>
      </c>
    </row>
    <row r="16" spans="1:31" ht="14.4" thickBot="1" x14ac:dyDescent="0.3">
      <c r="A16" s="89" t="s">
        <v>6</v>
      </c>
      <c r="B16" s="109">
        <v>48</v>
      </c>
      <c r="C16" s="97">
        <v>26</v>
      </c>
      <c r="D16" s="97">
        <v>58</v>
      </c>
      <c r="E16" s="97">
        <v>61</v>
      </c>
      <c r="F16" s="97">
        <v>36</v>
      </c>
      <c r="G16" s="98">
        <v>238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v>0</v>
      </c>
      <c r="N16" s="99">
        <f t="shared" si="3"/>
        <v>0</v>
      </c>
      <c r="O16" s="97">
        <v>0</v>
      </c>
      <c r="P16" s="97">
        <v>0</v>
      </c>
      <c r="Q16" s="97">
        <v>2</v>
      </c>
      <c r="R16" s="97">
        <v>0</v>
      </c>
      <c r="S16" s="97">
        <v>0</v>
      </c>
      <c r="T16" s="97">
        <v>1</v>
      </c>
      <c r="U16" s="99">
        <f t="shared" si="0"/>
        <v>0.42016806722689076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9">
        <f t="shared" si="1"/>
        <v>0</v>
      </c>
      <c r="AC16" s="101">
        <v>1</v>
      </c>
      <c r="AD16" s="101">
        <v>0</v>
      </c>
      <c r="AE16" s="101">
        <v>3</v>
      </c>
    </row>
    <row r="17" spans="1:31" ht="14.4" thickBot="1" x14ac:dyDescent="0.3">
      <c r="A17" s="89" t="s">
        <v>7</v>
      </c>
      <c r="B17" s="97">
        <v>69</v>
      </c>
      <c r="C17" s="97">
        <v>21</v>
      </c>
      <c r="D17" s="97">
        <v>45</v>
      </c>
      <c r="E17" s="97">
        <v>32</v>
      </c>
      <c r="F17" s="97">
        <v>22</v>
      </c>
      <c r="G17" s="98">
        <v>124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v>0</v>
      </c>
      <c r="N17" s="99">
        <f t="shared" si="3"/>
        <v>0</v>
      </c>
      <c r="O17" s="97">
        <v>1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9">
        <f t="shared" si="0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101">
        <v>0</v>
      </c>
      <c r="AB17" s="99">
        <f t="shared" si="1"/>
        <v>0</v>
      </c>
      <c r="AC17" s="101">
        <v>2</v>
      </c>
      <c r="AD17" s="101">
        <v>0</v>
      </c>
      <c r="AE17" s="101">
        <v>0</v>
      </c>
    </row>
    <row r="18" spans="1:31" ht="14.4" thickBot="1" x14ac:dyDescent="0.3">
      <c r="A18" s="89" t="s">
        <v>8</v>
      </c>
      <c r="B18" s="97">
        <v>7</v>
      </c>
      <c r="C18" s="97">
        <v>2</v>
      </c>
      <c r="D18" s="97">
        <v>8</v>
      </c>
      <c r="E18" s="97">
        <v>12</v>
      </c>
      <c r="F18" s="97">
        <v>2</v>
      </c>
      <c r="G18" s="98">
        <v>24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v>0</v>
      </c>
      <c r="U18" s="99">
        <f t="shared" si="0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9">
        <f t="shared" si="1"/>
        <v>0</v>
      </c>
      <c r="AC18" s="101">
        <v>0</v>
      </c>
      <c r="AD18" s="101">
        <v>0</v>
      </c>
      <c r="AE18" s="101">
        <v>0</v>
      </c>
    </row>
    <row r="19" spans="1:31" ht="14.4" thickBot="1" x14ac:dyDescent="0.3">
      <c r="A19" s="89" t="s">
        <v>9</v>
      </c>
      <c r="B19" s="97">
        <v>29</v>
      </c>
      <c r="C19" s="97">
        <v>13</v>
      </c>
      <c r="D19" s="97">
        <v>42</v>
      </c>
      <c r="E19" s="97">
        <v>37</v>
      </c>
      <c r="F19" s="97">
        <v>15</v>
      </c>
      <c r="G19" s="98">
        <v>98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v>0</v>
      </c>
      <c r="N19" s="99">
        <f t="shared" si="3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v>1</v>
      </c>
      <c r="U19" s="99">
        <f t="shared" si="0"/>
        <v>1.0204081632653061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v>1</v>
      </c>
      <c r="AB19" s="99">
        <f t="shared" si="1"/>
        <v>1.0204081632653061</v>
      </c>
      <c r="AC19" s="101">
        <v>0</v>
      </c>
      <c r="AD19" s="101">
        <v>0</v>
      </c>
      <c r="AE19" s="101">
        <v>2</v>
      </c>
    </row>
    <row r="20" spans="1:31" ht="14.4" thickBot="1" x14ac:dyDescent="0.3">
      <c r="A20" s="89" t="s">
        <v>10</v>
      </c>
      <c r="B20" s="97">
        <v>9</v>
      </c>
      <c r="C20" s="97">
        <v>5</v>
      </c>
      <c r="D20" s="97">
        <v>12</v>
      </c>
      <c r="E20" s="97">
        <v>23</v>
      </c>
      <c r="F20" s="97">
        <v>3</v>
      </c>
      <c r="G20" s="98">
        <v>72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v>3</v>
      </c>
      <c r="N20" s="99">
        <f t="shared" si="3"/>
        <v>4.166666666666667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v>0</v>
      </c>
      <c r="U20" s="99">
        <f t="shared" si="0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v>0</v>
      </c>
      <c r="AB20" s="99">
        <f t="shared" si="1"/>
        <v>0</v>
      </c>
      <c r="AC20" s="101">
        <v>0</v>
      </c>
      <c r="AD20" s="101">
        <v>0</v>
      </c>
      <c r="AE20" s="101">
        <v>11</v>
      </c>
    </row>
    <row r="21" spans="1:31" ht="14.4" thickBot="1" x14ac:dyDescent="0.3">
      <c r="A21" s="89" t="s">
        <v>11</v>
      </c>
      <c r="B21" s="97">
        <v>50</v>
      </c>
      <c r="C21" s="97">
        <v>12</v>
      </c>
      <c r="D21" s="97">
        <v>74</v>
      </c>
      <c r="E21" s="97">
        <v>97</v>
      </c>
      <c r="F21" s="97">
        <v>29</v>
      </c>
      <c r="G21" s="98">
        <v>272</v>
      </c>
      <c r="H21" s="97">
        <v>0</v>
      </c>
      <c r="I21" s="97">
        <v>0</v>
      </c>
      <c r="J21" s="97">
        <v>0</v>
      </c>
      <c r="K21" s="97">
        <v>1</v>
      </c>
      <c r="L21" s="97">
        <v>0</v>
      </c>
      <c r="M21" s="97">
        <v>10</v>
      </c>
      <c r="N21" s="99">
        <f t="shared" si="3"/>
        <v>3.6764705882352939</v>
      </c>
      <c r="O21" s="97">
        <v>0</v>
      </c>
      <c r="P21" s="97">
        <v>0</v>
      </c>
      <c r="Q21" s="97">
        <v>1</v>
      </c>
      <c r="R21" s="97">
        <v>0</v>
      </c>
      <c r="S21" s="97">
        <v>0</v>
      </c>
      <c r="T21" s="97">
        <v>4</v>
      </c>
      <c r="U21" s="99">
        <f t="shared" si="0"/>
        <v>1.4705882352941178</v>
      </c>
      <c r="V21" s="97">
        <v>0</v>
      </c>
      <c r="W21" s="97">
        <v>0</v>
      </c>
      <c r="X21" s="97">
        <v>2</v>
      </c>
      <c r="Y21" s="97">
        <v>2</v>
      </c>
      <c r="Z21" s="97">
        <v>0</v>
      </c>
      <c r="AA21" s="97">
        <v>0</v>
      </c>
      <c r="AB21" s="99">
        <f t="shared" si="1"/>
        <v>0</v>
      </c>
      <c r="AC21" s="101">
        <v>1</v>
      </c>
      <c r="AD21" s="101">
        <v>0</v>
      </c>
      <c r="AE21" s="101">
        <v>66</v>
      </c>
    </row>
    <row r="22" spans="1:31" ht="14.4" thickBot="1" x14ac:dyDescent="0.3">
      <c r="A22" s="89" t="s">
        <v>12</v>
      </c>
      <c r="B22" s="97">
        <v>1685</v>
      </c>
      <c r="C22" s="97">
        <v>868</v>
      </c>
      <c r="D22" s="97">
        <v>3157</v>
      </c>
      <c r="E22" s="97">
        <v>2444</v>
      </c>
      <c r="F22" s="97">
        <v>1110</v>
      </c>
      <c r="G22" s="98">
        <v>7635</v>
      </c>
      <c r="H22" s="97">
        <v>7</v>
      </c>
      <c r="I22" s="97">
        <v>2</v>
      </c>
      <c r="J22" s="97">
        <v>9</v>
      </c>
      <c r="K22" s="97">
        <v>9</v>
      </c>
      <c r="L22" s="97">
        <v>1</v>
      </c>
      <c r="M22" s="97">
        <v>25</v>
      </c>
      <c r="N22" s="99">
        <f t="shared" si="3"/>
        <v>0.32743942370661427</v>
      </c>
      <c r="O22" s="97">
        <v>6</v>
      </c>
      <c r="P22" s="97">
        <v>4</v>
      </c>
      <c r="Q22" s="97">
        <v>34</v>
      </c>
      <c r="R22" s="97">
        <v>7</v>
      </c>
      <c r="S22" s="97">
        <v>3</v>
      </c>
      <c r="T22" s="97">
        <v>35</v>
      </c>
      <c r="U22" s="99">
        <f t="shared" si="0"/>
        <v>0.45841519318926</v>
      </c>
      <c r="V22" s="97">
        <v>4</v>
      </c>
      <c r="W22" s="97">
        <v>4</v>
      </c>
      <c r="X22" s="97">
        <v>72</v>
      </c>
      <c r="Y22" s="97">
        <v>11</v>
      </c>
      <c r="Z22" s="97">
        <v>1</v>
      </c>
      <c r="AA22" s="97">
        <v>26</v>
      </c>
      <c r="AB22" s="99">
        <f t="shared" si="1"/>
        <v>0.34053700065487885</v>
      </c>
      <c r="AC22" s="101">
        <v>23</v>
      </c>
      <c r="AD22" s="101">
        <v>6</v>
      </c>
      <c r="AE22" s="101">
        <v>111</v>
      </c>
    </row>
    <row r="23" spans="1:31" ht="14.4" thickBot="1" x14ac:dyDescent="0.3">
      <c r="A23" s="89" t="s">
        <v>13</v>
      </c>
      <c r="B23" s="97">
        <v>10</v>
      </c>
      <c r="C23" s="97">
        <v>3</v>
      </c>
      <c r="D23" s="97">
        <v>4</v>
      </c>
      <c r="E23" s="97">
        <v>6</v>
      </c>
      <c r="F23" s="97">
        <v>3</v>
      </c>
      <c r="G23" s="98">
        <v>25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9">
        <f t="shared" si="3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v>1</v>
      </c>
      <c r="U23" s="99">
        <f t="shared" si="0"/>
        <v>4</v>
      </c>
      <c r="V23" s="97">
        <v>0</v>
      </c>
      <c r="W23" s="97">
        <v>0</v>
      </c>
      <c r="X23" s="97">
        <v>0</v>
      </c>
      <c r="Y23" s="97">
        <v>1</v>
      </c>
      <c r="Z23" s="97">
        <v>0</v>
      </c>
      <c r="AA23" s="97">
        <v>0</v>
      </c>
      <c r="AB23" s="99">
        <f t="shared" si="1"/>
        <v>0</v>
      </c>
      <c r="AC23" s="101">
        <v>0</v>
      </c>
      <c r="AD23" s="101">
        <v>0</v>
      </c>
      <c r="AE23" s="101">
        <v>35</v>
      </c>
    </row>
    <row r="24" spans="1:31" ht="23.4" thickBot="1" x14ac:dyDescent="0.3">
      <c r="A24" s="139" t="s">
        <v>23</v>
      </c>
      <c r="B24" s="110">
        <v>319</v>
      </c>
      <c r="C24" s="110">
        <v>59</v>
      </c>
      <c r="D24" s="97">
        <v>0</v>
      </c>
      <c r="E24" s="110">
        <v>380</v>
      </c>
      <c r="F24" s="97">
        <v>200</v>
      </c>
      <c r="G24" s="98">
        <v>2291</v>
      </c>
      <c r="H24" s="110">
        <v>0</v>
      </c>
      <c r="I24" s="97">
        <v>0</v>
      </c>
      <c r="J24" s="97">
        <v>0</v>
      </c>
      <c r="K24" s="97">
        <v>0</v>
      </c>
      <c r="L24" s="97">
        <v>0</v>
      </c>
      <c r="M24" s="97">
        <v>5</v>
      </c>
      <c r="N24" s="99">
        <f t="shared" si="3"/>
        <v>0.21824530772588388</v>
      </c>
      <c r="O24" s="110">
        <v>0</v>
      </c>
      <c r="P24" s="97">
        <v>0</v>
      </c>
      <c r="Q24" s="110">
        <v>0</v>
      </c>
      <c r="R24" s="110">
        <v>0</v>
      </c>
      <c r="S24" s="97">
        <v>0</v>
      </c>
      <c r="T24" s="97">
        <v>13</v>
      </c>
      <c r="U24" s="99">
        <f t="shared" si="0"/>
        <v>0.56743780008729816</v>
      </c>
      <c r="V24" s="110">
        <v>1</v>
      </c>
      <c r="W24" s="110">
        <v>0</v>
      </c>
      <c r="X24" s="110">
        <v>0</v>
      </c>
      <c r="Y24" s="110">
        <v>0</v>
      </c>
      <c r="Z24" s="110">
        <v>0</v>
      </c>
      <c r="AA24" s="97">
        <v>2</v>
      </c>
      <c r="AB24" s="99">
        <f t="shared" si="1"/>
        <v>8.7298123090353563E-2</v>
      </c>
      <c r="AC24" s="101">
        <v>0</v>
      </c>
      <c r="AD24" s="101">
        <v>1</v>
      </c>
      <c r="AE24" s="101">
        <v>22</v>
      </c>
    </row>
    <row r="25" spans="1:31" s="132" customFormat="1" ht="14.4" thickBot="1" x14ac:dyDescent="0.3">
      <c r="A25" s="128" t="s">
        <v>22</v>
      </c>
      <c r="B25" s="111">
        <f>SUM(B14:B24)</f>
        <v>2370</v>
      </c>
      <c r="C25" s="111">
        <f>SUM(C14:C24)</f>
        <v>1046</v>
      </c>
      <c r="D25" s="111">
        <f>SUM(D14:D24)</f>
        <v>3663</v>
      </c>
      <c r="E25" s="111">
        <f>SUM(E14:E24)</f>
        <v>3307</v>
      </c>
      <c r="F25" s="111">
        <f>SUM(F14:F24)</f>
        <v>1507</v>
      </c>
      <c r="G25" s="102">
        <v>11597</v>
      </c>
      <c r="H25" s="111">
        <f>SUM(H14:H24)</f>
        <v>7</v>
      </c>
      <c r="I25" s="111">
        <f>SUM(I14:I24)</f>
        <v>2</v>
      </c>
      <c r="J25" s="111">
        <f>SUM(J14:J24)</f>
        <v>9</v>
      </c>
      <c r="K25" s="111">
        <f>SUM(K14:K24)</f>
        <v>11</v>
      </c>
      <c r="L25" s="111">
        <f>SUM(L14:L24)</f>
        <v>1</v>
      </c>
      <c r="M25" s="103">
        <v>46</v>
      </c>
      <c r="N25" s="104">
        <f t="shared" si="3"/>
        <v>0.39665430714840044</v>
      </c>
      <c r="O25" s="111">
        <f>SUM(O17:O24)</f>
        <v>8</v>
      </c>
      <c r="P25" s="111">
        <f>SUM(P14:P24)</f>
        <v>4</v>
      </c>
      <c r="Q25" s="111">
        <f>SUM(Q14:Q24)</f>
        <v>40</v>
      </c>
      <c r="R25" s="111">
        <f>SUM(R14:R24)</f>
        <v>10</v>
      </c>
      <c r="S25" s="111">
        <f>SUM(S14:S24)</f>
        <v>3</v>
      </c>
      <c r="T25" s="103">
        <v>69</v>
      </c>
      <c r="U25" s="104">
        <f t="shared" si="0"/>
        <v>0.59498146072260072</v>
      </c>
      <c r="V25" s="111">
        <f>SUM(V17:V24)</f>
        <v>5</v>
      </c>
      <c r="W25" s="111">
        <f>SUM(W14:W24)</f>
        <v>4</v>
      </c>
      <c r="X25" s="111">
        <f>SUM(X14:X24)</f>
        <v>74</v>
      </c>
      <c r="Y25" s="111">
        <f>SUM(Y14:Y24)</f>
        <v>17</v>
      </c>
      <c r="Z25" s="111">
        <f>SUM(Z14:Z24)</f>
        <v>2</v>
      </c>
      <c r="AA25" s="103">
        <v>69</v>
      </c>
      <c r="AB25" s="104">
        <f t="shared" si="1"/>
        <v>0.59498146072260072</v>
      </c>
      <c r="AC25" s="107">
        <f>SUM(AC14:AC24)</f>
        <v>35</v>
      </c>
      <c r="AD25" s="107">
        <f t="shared" ref="AD25:AE25" si="5">SUM(AD14:AD24)</f>
        <v>7</v>
      </c>
      <c r="AE25" s="107">
        <f t="shared" si="5"/>
        <v>281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2983</v>
      </c>
      <c r="C28" s="97">
        <v>1480</v>
      </c>
      <c r="D28" s="97">
        <v>3213</v>
      </c>
      <c r="E28" s="97">
        <v>3012</v>
      </c>
      <c r="F28" s="97">
        <v>3142</v>
      </c>
      <c r="G28" s="98">
        <v>14735</v>
      </c>
      <c r="H28" s="97">
        <v>5</v>
      </c>
      <c r="I28" s="97">
        <v>0</v>
      </c>
      <c r="J28" s="97">
        <v>17</v>
      </c>
      <c r="K28" s="97">
        <v>0</v>
      </c>
      <c r="L28" s="97">
        <v>1</v>
      </c>
      <c r="M28" s="97">
        <v>8</v>
      </c>
      <c r="N28" s="99">
        <f t="shared" si="3"/>
        <v>5.4292500848320324E-2</v>
      </c>
      <c r="O28" s="97">
        <v>8</v>
      </c>
      <c r="P28" s="97">
        <v>3</v>
      </c>
      <c r="Q28" s="97">
        <v>8</v>
      </c>
      <c r="R28" s="97">
        <v>1</v>
      </c>
      <c r="S28" s="97">
        <v>1</v>
      </c>
      <c r="T28" s="97">
        <v>23</v>
      </c>
      <c r="U28" s="99">
        <f t="shared" si="0"/>
        <v>0.15609093993892093</v>
      </c>
      <c r="V28" s="97">
        <v>7</v>
      </c>
      <c r="W28" s="97">
        <v>2</v>
      </c>
      <c r="X28" s="97">
        <v>14</v>
      </c>
      <c r="Y28" s="97">
        <v>2</v>
      </c>
      <c r="Z28" s="97">
        <v>2</v>
      </c>
      <c r="AA28" s="97">
        <v>15</v>
      </c>
      <c r="AB28" s="99">
        <f t="shared" si="1"/>
        <v>0.10179843909060061</v>
      </c>
      <c r="AC28" s="101">
        <v>5</v>
      </c>
      <c r="AD28" s="101">
        <v>0</v>
      </c>
      <c r="AE28" s="101">
        <v>90</v>
      </c>
    </row>
    <row r="29" spans="1:31" ht="14.4" thickBot="1" x14ac:dyDescent="0.3">
      <c r="A29" s="89" t="s">
        <v>16</v>
      </c>
      <c r="B29" s="97">
        <v>1098</v>
      </c>
      <c r="C29" s="97">
        <v>745</v>
      </c>
      <c r="D29" s="97">
        <v>1910</v>
      </c>
      <c r="E29" s="97">
        <v>1601</v>
      </c>
      <c r="F29" s="97">
        <v>901</v>
      </c>
      <c r="G29" s="98">
        <v>6590</v>
      </c>
      <c r="H29" s="97">
        <v>2</v>
      </c>
      <c r="I29" s="97">
        <v>1</v>
      </c>
      <c r="J29" s="97">
        <v>6</v>
      </c>
      <c r="K29" s="97">
        <v>7</v>
      </c>
      <c r="L29" s="97">
        <v>1</v>
      </c>
      <c r="M29" s="97">
        <v>24</v>
      </c>
      <c r="N29" s="99">
        <f t="shared" si="3"/>
        <v>0.36418816388467373</v>
      </c>
      <c r="O29" s="97">
        <v>5</v>
      </c>
      <c r="P29" s="97">
        <v>0</v>
      </c>
      <c r="Q29" s="97">
        <v>15</v>
      </c>
      <c r="R29" s="97">
        <v>2</v>
      </c>
      <c r="S29" s="97">
        <v>0</v>
      </c>
      <c r="T29" s="97">
        <v>19</v>
      </c>
      <c r="U29" s="99">
        <f t="shared" si="0"/>
        <v>0.2883156297420334</v>
      </c>
      <c r="V29" s="97">
        <v>4</v>
      </c>
      <c r="W29" s="97">
        <v>2</v>
      </c>
      <c r="X29" s="97">
        <v>10</v>
      </c>
      <c r="Y29" s="97">
        <v>4</v>
      </c>
      <c r="Z29" s="97">
        <v>0</v>
      </c>
      <c r="AA29" s="97">
        <v>10</v>
      </c>
      <c r="AB29" s="99">
        <f t="shared" si="1"/>
        <v>0.15174506828528073</v>
      </c>
      <c r="AC29" s="101">
        <v>12</v>
      </c>
      <c r="AD29" s="101">
        <v>0</v>
      </c>
      <c r="AE29" s="101">
        <v>95</v>
      </c>
    </row>
    <row r="30" spans="1:31" ht="14.4" thickBot="1" x14ac:dyDescent="0.3">
      <c r="A30" s="89" t="s">
        <v>34</v>
      </c>
      <c r="B30" s="97">
        <v>913</v>
      </c>
      <c r="C30" s="97">
        <v>502</v>
      </c>
      <c r="D30" s="97">
        <v>925</v>
      </c>
      <c r="E30" s="97">
        <v>900</v>
      </c>
      <c r="F30" s="97">
        <v>1082</v>
      </c>
      <c r="G30" s="98">
        <v>4738</v>
      </c>
      <c r="H30" s="97">
        <v>3</v>
      </c>
      <c r="I30" s="97">
        <v>1</v>
      </c>
      <c r="J30" s="97">
        <v>2</v>
      </c>
      <c r="K30" s="97">
        <v>0</v>
      </c>
      <c r="L30" s="97">
        <v>0</v>
      </c>
      <c r="M30" s="97">
        <v>6</v>
      </c>
      <c r="N30" s="99">
        <f t="shared" si="3"/>
        <v>0.12663571127057829</v>
      </c>
      <c r="O30" s="97">
        <v>10</v>
      </c>
      <c r="P30" s="97">
        <v>1</v>
      </c>
      <c r="Q30" s="97">
        <v>8</v>
      </c>
      <c r="R30" s="97">
        <v>3</v>
      </c>
      <c r="S30" s="97">
        <v>1</v>
      </c>
      <c r="T30" s="97">
        <v>26</v>
      </c>
      <c r="U30" s="99">
        <f t="shared" si="0"/>
        <v>0.54875474883917263</v>
      </c>
      <c r="V30" s="97"/>
      <c r="W30" s="97"/>
      <c r="X30" s="97">
        <v>10</v>
      </c>
      <c r="Y30" s="97">
        <v>1</v>
      </c>
      <c r="Z30" s="97">
        <v>1</v>
      </c>
      <c r="AA30" s="97">
        <v>1</v>
      </c>
      <c r="AB30" s="99">
        <f t="shared" si="1"/>
        <v>2.1105951878429716E-2</v>
      </c>
      <c r="AC30" s="101">
        <v>2</v>
      </c>
      <c r="AD30" s="101">
        <v>1</v>
      </c>
      <c r="AE30" s="101">
        <v>31</v>
      </c>
    </row>
    <row r="31" spans="1:31" ht="14.4" thickBot="1" x14ac:dyDescent="0.3">
      <c r="A31" s="89" t="s">
        <v>17</v>
      </c>
      <c r="B31" s="97">
        <v>5962</v>
      </c>
      <c r="C31" s="97">
        <v>3612</v>
      </c>
      <c r="D31" s="97">
        <v>8185</v>
      </c>
      <c r="E31" s="97">
        <v>6969</v>
      </c>
      <c r="F31" s="97">
        <v>4686</v>
      </c>
      <c r="G31" s="98">
        <v>32972</v>
      </c>
      <c r="H31" s="97">
        <v>5</v>
      </c>
      <c r="I31" s="97">
        <v>8</v>
      </c>
      <c r="J31" s="97">
        <v>8</v>
      </c>
      <c r="K31" s="97">
        <v>2</v>
      </c>
      <c r="L31" s="97">
        <v>1</v>
      </c>
      <c r="M31" s="97">
        <v>20</v>
      </c>
      <c r="N31" s="99">
        <f t="shared" si="3"/>
        <v>6.065752759917506E-2</v>
      </c>
      <c r="O31" s="97">
        <v>10</v>
      </c>
      <c r="P31" s="97">
        <v>10</v>
      </c>
      <c r="Q31" s="97">
        <v>22</v>
      </c>
      <c r="R31" s="97">
        <v>8</v>
      </c>
      <c r="S31" s="97">
        <v>6</v>
      </c>
      <c r="T31" s="97">
        <v>37</v>
      </c>
      <c r="U31" s="99">
        <f t="shared" si="0"/>
        <v>0.11221642605847386</v>
      </c>
      <c r="V31" s="97">
        <v>16</v>
      </c>
      <c r="W31" s="97">
        <v>8</v>
      </c>
      <c r="X31" s="97">
        <v>39</v>
      </c>
      <c r="Y31" s="97">
        <v>12</v>
      </c>
      <c r="Z31" s="97">
        <v>1</v>
      </c>
      <c r="AA31" s="97">
        <v>19</v>
      </c>
      <c r="AB31" s="99">
        <f t="shared" si="1"/>
        <v>5.7624651219216304E-2</v>
      </c>
      <c r="AC31" s="101">
        <v>9</v>
      </c>
      <c r="AD31" s="101">
        <v>0</v>
      </c>
      <c r="AE31" s="101">
        <v>245</v>
      </c>
    </row>
    <row r="32" spans="1:31" ht="14.4" thickBot="1" x14ac:dyDescent="0.3">
      <c r="A32" s="89" t="s">
        <v>18</v>
      </c>
      <c r="B32" s="97">
        <v>2232</v>
      </c>
      <c r="C32" s="97">
        <v>1239</v>
      </c>
      <c r="D32" s="97">
        <v>1878</v>
      </c>
      <c r="E32" s="97">
        <v>1798</v>
      </c>
      <c r="F32" s="97">
        <v>3064</v>
      </c>
      <c r="G32" s="98">
        <v>10650</v>
      </c>
      <c r="H32" s="97">
        <v>7</v>
      </c>
      <c r="I32" s="97">
        <v>1</v>
      </c>
      <c r="J32" s="97">
        <v>2</v>
      </c>
      <c r="K32" s="97">
        <v>12</v>
      </c>
      <c r="L32" s="97">
        <v>1</v>
      </c>
      <c r="M32" s="97">
        <v>15</v>
      </c>
      <c r="N32" s="99">
        <f t="shared" si="3"/>
        <v>0.14084507042253522</v>
      </c>
      <c r="O32" s="97">
        <v>5</v>
      </c>
      <c r="P32" s="97">
        <v>5</v>
      </c>
      <c r="Q32" s="97">
        <v>8</v>
      </c>
      <c r="R32" s="97">
        <v>7</v>
      </c>
      <c r="S32" s="97">
        <v>4</v>
      </c>
      <c r="T32" s="97">
        <v>31</v>
      </c>
      <c r="U32" s="99">
        <f t="shared" si="0"/>
        <v>0.29107981220657275</v>
      </c>
      <c r="V32" s="97">
        <v>2</v>
      </c>
      <c r="W32" s="97">
        <v>2</v>
      </c>
      <c r="X32" s="97">
        <v>15</v>
      </c>
      <c r="Y32" s="97">
        <v>1</v>
      </c>
      <c r="Z32" s="97">
        <v>2</v>
      </c>
      <c r="AA32" s="97">
        <v>5</v>
      </c>
      <c r="AB32" s="99">
        <f t="shared" si="1"/>
        <v>4.6948356807511735E-2</v>
      </c>
      <c r="AC32" s="101">
        <v>8</v>
      </c>
      <c r="AD32" s="101">
        <v>0</v>
      </c>
      <c r="AE32" s="101">
        <v>53</v>
      </c>
    </row>
    <row r="33" spans="1:31" ht="14.4" thickBot="1" x14ac:dyDescent="0.3">
      <c r="A33" s="89" t="s">
        <v>19</v>
      </c>
      <c r="B33" s="97">
        <v>9246</v>
      </c>
      <c r="C33" s="97">
        <v>5517</v>
      </c>
      <c r="D33" s="97">
        <v>11932</v>
      </c>
      <c r="E33" s="97">
        <v>10167</v>
      </c>
      <c r="F33" s="97">
        <v>5609</v>
      </c>
      <c r="G33" s="98">
        <v>46687</v>
      </c>
      <c r="H33" s="97">
        <v>32</v>
      </c>
      <c r="I33" s="97">
        <v>18</v>
      </c>
      <c r="J33" s="97">
        <v>54</v>
      </c>
      <c r="K33" s="97">
        <v>33</v>
      </c>
      <c r="L33" s="97">
        <v>3</v>
      </c>
      <c r="M33" s="97">
        <v>97</v>
      </c>
      <c r="N33" s="99">
        <f t="shared" si="3"/>
        <v>0.20776661597446827</v>
      </c>
      <c r="O33" s="97">
        <v>48</v>
      </c>
      <c r="P33" s="97">
        <v>35</v>
      </c>
      <c r="Q33" s="97">
        <v>112</v>
      </c>
      <c r="R33" s="97">
        <v>34</v>
      </c>
      <c r="S33" s="97">
        <v>30</v>
      </c>
      <c r="T33" s="97">
        <v>200</v>
      </c>
      <c r="U33" s="99">
        <f t="shared" si="0"/>
        <v>0.42838477520508922</v>
      </c>
      <c r="V33" s="97">
        <v>40</v>
      </c>
      <c r="W33" s="97">
        <v>40</v>
      </c>
      <c r="X33" s="97">
        <v>86</v>
      </c>
      <c r="Y33" s="97">
        <v>43</v>
      </c>
      <c r="Z33" s="97">
        <v>2</v>
      </c>
      <c r="AA33" s="97">
        <v>66</v>
      </c>
      <c r="AB33" s="99">
        <f t="shared" si="1"/>
        <v>0.14136697581767943</v>
      </c>
      <c r="AC33" s="101">
        <v>76</v>
      </c>
      <c r="AD33" s="101">
        <v>4</v>
      </c>
      <c r="AE33" s="101">
        <v>606</v>
      </c>
    </row>
    <row r="34" spans="1:31" ht="14.4" thickBot="1" x14ac:dyDescent="0.3">
      <c r="A34" s="89" t="s">
        <v>20</v>
      </c>
      <c r="B34" s="97">
        <v>5442</v>
      </c>
      <c r="C34" s="97">
        <v>3534</v>
      </c>
      <c r="D34" s="97">
        <v>8238</v>
      </c>
      <c r="E34" s="97">
        <v>7812</v>
      </c>
      <c r="F34" s="97">
        <v>3711</v>
      </c>
      <c r="G34" s="98">
        <v>32304</v>
      </c>
      <c r="H34" s="97">
        <v>21</v>
      </c>
      <c r="I34" s="97">
        <v>6</v>
      </c>
      <c r="J34" s="97">
        <v>22</v>
      </c>
      <c r="K34" s="97">
        <v>12</v>
      </c>
      <c r="L34" s="97">
        <v>2</v>
      </c>
      <c r="M34" s="97">
        <v>64</v>
      </c>
      <c r="N34" s="99">
        <f t="shared" si="3"/>
        <v>0.19811788013868251</v>
      </c>
      <c r="O34" s="97">
        <v>27</v>
      </c>
      <c r="P34" s="97">
        <v>8</v>
      </c>
      <c r="Q34" s="97">
        <v>37</v>
      </c>
      <c r="R34" s="97">
        <v>27</v>
      </c>
      <c r="S34" s="97">
        <v>5</v>
      </c>
      <c r="T34" s="97">
        <v>109</v>
      </c>
      <c r="U34" s="99">
        <f t="shared" si="0"/>
        <v>0.33741951461119368</v>
      </c>
      <c r="V34" s="97">
        <v>7</v>
      </c>
      <c r="W34" s="97">
        <v>14</v>
      </c>
      <c r="X34" s="97">
        <v>51</v>
      </c>
      <c r="Y34" s="97">
        <v>30</v>
      </c>
      <c r="Z34" s="97">
        <v>2</v>
      </c>
      <c r="AA34" s="97">
        <v>40</v>
      </c>
      <c r="AB34" s="99">
        <f t="shared" si="1"/>
        <v>0.12382367508667658</v>
      </c>
      <c r="AC34" s="101">
        <v>49</v>
      </c>
      <c r="AD34" s="101">
        <v>3</v>
      </c>
      <c r="AE34" s="101">
        <v>421</v>
      </c>
    </row>
    <row r="35" spans="1:31" ht="14.4" thickBot="1" x14ac:dyDescent="0.3">
      <c r="A35" s="89" t="s">
        <v>25</v>
      </c>
      <c r="B35" s="97"/>
      <c r="C35" s="97"/>
      <c r="D35" s="97"/>
      <c r="E35" s="97"/>
      <c r="F35" s="97"/>
      <c r="G35" s="98">
        <v>492</v>
      </c>
      <c r="H35" s="97"/>
      <c r="I35" s="97"/>
      <c r="J35" s="97"/>
      <c r="K35" s="97"/>
      <c r="L35" s="97"/>
      <c r="M35" s="97">
        <v>3</v>
      </c>
      <c r="N35" s="99">
        <f t="shared" si="3"/>
        <v>0.6097560975609756</v>
      </c>
      <c r="O35" s="97"/>
      <c r="P35" s="97"/>
      <c r="Q35" s="97"/>
      <c r="R35" s="97"/>
      <c r="S35" s="97"/>
      <c r="T35" s="97">
        <v>9</v>
      </c>
      <c r="U35" s="99">
        <f t="shared" si="0"/>
        <v>1.8292682926829269</v>
      </c>
      <c r="V35" s="97"/>
      <c r="W35" s="97"/>
      <c r="X35" s="97"/>
      <c r="Y35" s="97"/>
      <c r="Z35" s="97"/>
      <c r="AA35" s="97">
        <v>2</v>
      </c>
      <c r="AB35" s="99">
        <f t="shared" si="1"/>
        <v>0.4065040650406504</v>
      </c>
      <c r="AC35" s="101">
        <v>0</v>
      </c>
      <c r="AD35" s="101">
        <v>0</v>
      </c>
      <c r="AE35" s="101">
        <v>8</v>
      </c>
    </row>
    <row r="36" spans="1:31" ht="14.4" thickBot="1" x14ac:dyDescent="0.3">
      <c r="A36" s="89" t="s">
        <v>26</v>
      </c>
      <c r="B36" s="97">
        <v>48921</v>
      </c>
      <c r="C36" s="97">
        <v>32891</v>
      </c>
      <c r="D36" s="97">
        <v>67606</v>
      </c>
      <c r="E36" s="97">
        <v>67129</v>
      </c>
      <c r="F36" s="97">
        <v>37040</v>
      </c>
      <c r="G36" s="98">
        <v>296334</v>
      </c>
      <c r="H36" s="97">
        <v>86</v>
      </c>
      <c r="I36" s="97">
        <v>53</v>
      </c>
      <c r="J36" s="97">
        <v>136</v>
      </c>
      <c r="K36" s="97">
        <v>79</v>
      </c>
      <c r="L36" s="97">
        <v>25</v>
      </c>
      <c r="M36" s="97">
        <v>373</v>
      </c>
      <c r="N36" s="99">
        <f t="shared" si="3"/>
        <v>0.12587148285380687</v>
      </c>
      <c r="O36" s="97">
        <v>160</v>
      </c>
      <c r="P36" s="97">
        <v>61</v>
      </c>
      <c r="Q36" s="97">
        <v>270</v>
      </c>
      <c r="R36" s="97">
        <v>149</v>
      </c>
      <c r="S36" s="97">
        <v>52</v>
      </c>
      <c r="T36" s="97">
        <v>588</v>
      </c>
      <c r="U36" s="99">
        <f t="shared" si="0"/>
        <v>0.19842475045050517</v>
      </c>
      <c r="V36" s="97">
        <v>133</v>
      </c>
      <c r="W36" s="97">
        <v>68</v>
      </c>
      <c r="X36" s="97">
        <v>354</v>
      </c>
      <c r="Y36" s="97">
        <v>193</v>
      </c>
      <c r="Z36" s="97">
        <v>62</v>
      </c>
      <c r="AA36" s="97">
        <v>245</v>
      </c>
      <c r="AB36" s="99">
        <f t="shared" si="1"/>
        <v>8.267697935437715E-2</v>
      </c>
      <c r="AC36" s="101">
        <v>134</v>
      </c>
      <c r="AD36" s="101">
        <v>18</v>
      </c>
      <c r="AE36" s="97">
        <v>2603</v>
      </c>
    </row>
    <row r="37" spans="1:31" s="132" customFormat="1" ht="14.4" thickBot="1" x14ac:dyDescent="0.3">
      <c r="A37" s="128" t="s">
        <v>21</v>
      </c>
      <c r="B37" s="111">
        <f>SUM(B28:B36)</f>
        <v>76797</v>
      </c>
      <c r="C37" s="111">
        <f>SUM(C28:C36)</f>
        <v>49520</v>
      </c>
      <c r="D37" s="111">
        <f>SUM(D28:D36)</f>
        <v>103887</v>
      </c>
      <c r="E37" s="111">
        <f>SUM(E28:E36)</f>
        <v>99388</v>
      </c>
      <c r="F37" s="111">
        <f>SUM(F28:F36)</f>
        <v>59235</v>
      </c>
      <c r="G37" s="102">
        <v>445502</v>
      </c>
      <c r="H37" s="111">
        <f>SUM(H28:H36)</f>
        <v>161</v>
      </c>
      <c r="I37" s="111">
        <f>SUM(I28:I36)</f>
        <v>88</v>
      </c>
      <c r="J37" s="111">
        <f>SUM(J28:J36)</f>
        <v>247</v>
      </c>
      <c r="K37" s="111">
        <f>SUM(K28:K36)</f>
        <v>145</v>
      </c>
      <c r="L37" s="111">
        <f>SUM(L28:L36)</f>
        <v>34</v>
      </c>
      <c r="M37" s="103">
        <v>610</v>
      </c>
      <c r="N37" s="104">
        <f t="shared" si="3"/>
        <v>0.13692418889253022</v>
      </c>
      <c r="O37" s="111">
        <f>SUM(O28:O36)</f>
        <v>273</v>
      </c>
      <c r="P37" s="111">
        <f>SUM(P28:P36)</f>
        <v>123</v>
      </c>
      <c r="Q37" s="111">
        <f>SUM(Q28:Q36)</f>
        <v>480</v>
      </c>
      <c r="R37" s="111">
        <f>SUM(R28:R36)</f>
        <v>231</v>
      </c>
      <c r="S37" s="111">
        <f>SUM(S28:S36)</f>
        <v>99</v>
      </c>
      <c r="T37" s="103">
        <v>1042</v>
      </c>
      <c r="U37" s="104">
        <f t="shared" si="0"/>
        <v>0.23389345053445326</v>
      </c>
      <c r="V37" s="111">
        <f>SUM(V28:V36)</f>
        <v>209</v>
      </c>
      <c r="W37" s="111">
        <f>SUM(W28:W36)</f>
        <v>136</v>
      </c>
      <c r="X37" s="111">
        <f>SUM(X28:X36)</f>
        <v>579</v>
      </c>
      <c r="Y37" s="111">
        <f>SUM(Y28:Y36)</f>
        <v>286</v>
      </c>
      <c r="Z37" s="111">
        <f>SUM(Z28:Z36)</f>
        <v>72</v>
      </c>
      <c r="AA37" s="103">
        <v>403</v>
      </c>
      <c r="AB37" s="104">
        <f t="shared" si="1"/>
        <v>9.0459751022442095E-2</v>
      </c>
      <c r="AC37" s="107">
        <f>SUM(AC28:AC36)</f>
        <v>295</v>
      </c>
      <c r="AD37" s="107">
        <v>26</v>
      </c>
      <c r="AE37" s="114">
        <f>SUM(AE28:AE36)</f>
        <v>4152</v>
      </c>
    </row>
    <row r="38" spans="1:31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1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1" ht="14.4" thickBot="1" x14ac:dyDescent="0.3">
      <c r="A40" s="89" t="s">
        <v>40</v>
      </c>
      <c r="B40" s="97"/>
      <c r="C40" s="97"/>
      <c r="D40" s="97"/>
      <c r="E40" s="97"/>
      <c r="F40" s="97"/>
      <c r="G40" s="98">
        <v>285</v>
      </c>
      <c r="H40" s="97"/>
      <c r="I40" s="97"/>
      <c r="J40" s="97"/>
      <c r="K40" s="97"/>
      <c r="L40" s="120"/>
      <c r="M40" s="97">
        <v>0</v>
      </c>
      <c r="N40" s="99">
        <f t="shared" si="3"/>
        <v>0</v>
      </c>
      <c r="O40" s="97"/>
      <c r="P40" s="97"/>
      <c r="Q40" s="97"/>
      <c r="R40" s="97"/>
      <c r="S40" s="97"/>
      <c r="T40" s="97">
        <v>0</v>
      </c>
      <c r="U40" s="99">
        <f t="shared" si="0"/>
        <v>0</v>
      </c>
      <c r="V40" s="133"/>
      <c r="W40" s="133"/>
      <c r="X40" s="133"/>
      <c r="Y40" s="133"/>
      <c r="Z40" s="133"/>
      <c r="AA40" s="101">
        <v>1</v>
      </c>
      <c r="AB40" s="99">
        <f t="shared" si="1"/>
        <v>0.35087719298245612</v>
      </c>
      <c r="AC40" s="101">
        <v>1</v>
      </c>
      <c r="AD40" s="101">
        <v>0</v>
      </c>
      <c r="AE40" s="101">
        <v>2</v>
      </c>
    </row>
    <row r="41" spans="1:31" ht="14.4" thickBot="1" x14ac:dyDescent="0.3">
      <c r="A41" s="89" t="s">
        <v>27</v>
      </c>
      <c r="B41" s="97">
        <v>49382</v>
      </c>
      <c r="C41" s="97">
        <v>38536</v>
      </c>
      <c r="D41" s="109">
        <v>55854</v>
      </c>
      <c r="E41" s="97">
        <v>55288</v>
      </c>
      <c r="F41" s="97">
        <v>47258</v>
      </c>
      <c r="G41" s="98">
        <v>257930</v>
      </c>
      <c r="H41" s="97">
        <v>25</v>
      </c>
      <c r="I41" s="97">
        <v>18</v>
      </c>
      <c r="J41" s="97">
        <v>14</v>
      </c>
      <c r="K41" s="97">
        <v>24</v>
      </c>
      <c r="L41" s="97">
        <v>6</v>
      </c>
      <c r="M41" s="97">
        <v>82</v>
      </c>
      <c r="N41" s="99">
        <f t="shared" si="3"/>
        <v>3.1791571356569612E-2</v>
      </c>
      <c r="O41" s="97">
        <v>27</v>
      </c>
      <c r="P41" s="97">
        <v>19</v>
      </c>
      <c r="Q41" s="97">
        <v>19</v>
      </c>
      <c r="R41" s="97">
        <v>18</v>
      </c>
      <c r="S41" s="97">
        <v>8</v>
      </c>
      <c r="T41" s="97">
        <v>64</v>
      </c>
      <c r="U41" s="99">
        <f t="shared" si="0"/>
        <v>2.4812933741712867E-2</v>
      </c>
      <c r="V41" s="109">
        <v>147</v>
      </c>
      <c r="W41" s="109">
        <v>32</v>
      </c>
      <c r="X41" s="133">
        <v>92</v>
      </c>
      <c r="Y41" s="133">
        <v>70</v>
      </c>
      <c r="Z41" s="133">
        <v>49</v>
      </c>
      <c r="AA41" s="97">
        <v>20</v>
      </c>
      <c r="AB41" s="99">
        <f t="shared" si="1"/>
        <v>7.7540417942852709E-3</v>
      </c>
      <c r="AC41" s="101">
        <v>21</v>
      </c>
      <c r="AD41" s="101">
        <v>1</v>
      </c>
      <c r="AE41" s="101">
        <v>346</v>
      </c>
    </row>
    <row r="42" spans="1:31" s="132" customFormat="1" ht="14.4" thickBot="1" x14ac:dyDescent="0.3">
      <c r="A42" s="128" t="s">
        <v>21</v>
      </c>
      <c r="B42" s="111">
        <f>SUM(B40:B41)</f>
        <v>49382</v>
      </c>
      <c r="C42" s="111">
        <f t="shared" ref="C42:F42" si="6">SUM(C40:C41)</f>
        <v>38536</v>
      </c>
      <c r="D42" s="111">
        <f t="shared" si="6"/>
        <v>55854</v>
      </c>
      <c r="E42" s="111">
        <f t="shared" si="6"/>
        <v>55288</v>
      </c>
      <c r="F42" s="111">
        <f t="shared" si="6"/>
        <v>47258</v>
      </c>
      <c r="G42" s="102">
        <v>258215</v>
      </c>
      <c r="H42" s="111">
        <f>SUM(H40:H41)</f>
        <v>25</v>
      </c>
      <c r="I42" s="111">
        <f t="shared" ref="I42:L42" si="7">SUM(I40:I41)</f>
        <v>18</v>
      </c>
      <c r="J42" s="111">
        <f t="shared" si="7"/>
        <v>14</v>
      </c>
      <c r="K42" s="111">
        <f t="shared" si="7"/>
        <v>24</v>
      </c>
      <c r="L42" s="111">
        <f t="shared" si="7"/>
        <v>6</v>
      </c>
      <c r="M42" s="103">
        <v>82</v>
      </c>
      <c r="N42" s="104">
        <f t="shared" si="3"/>
        <v>3.1756482001432912E-2</v>
      </c>
      <c r="O42" s="111">
        <f>SUM(O40:O41)</f>
        <v>27</v>
      </c>
      <c r="P42" s="111">
        <f t="shared" ref="P42:S42" si="8">SUM(P40:P41)</f>
        <v>19</v>
      </c>
      <c r="Q42" s="111">
        <f t="shared" si="8"/>
        <v>19</v>
      </c>
      <c r="R42" s="111">
        <f t="shared" si="8"/>
        <v>18</v>
      </c>
      <c r="S42" s="111">
        <f t="shared" si="8"/>
        <v>8</v>
      </c>
      <c r="T42" s="103">
        <v>64</v>
      </c>
      <c r="U42" s="104">
        <f t="shared" si="0"/>
        <v>2.4785546927947641E-2</v>
      </c>
      <c r="V42" s="111">
        <f>SUM(V40:V41)</f>
        <v>147</v>
      </c>
      <c r="W42" s="111">
        <f t="shared" ref="W42:Z42" si="9">SUM(W40:W41)</f>
        <v>32</v>
      </c>
      <c r="X42" s="111">
        <f t="shared" si="9"/>
        <v>92</v>
      </c>
      <c r="Y42" s="111">
        <f t="shared" si="9"/>
        <v>70</v>
      </c>
      <c r="Z42" s="111">
        <f t="shared" si="9"/>
        <v>49</v>
      </c>
      <c r="AA42" s="106">
        <v>21</v>
      </c>
      <c r="AB42" s="104">
        <f t="shared" si="1"/>
        <v>8.132757585732819E-3</v>
      </c>
      <c r="AC42" s="107">
        <v>22</v>
      </c>
      <c r="AD42" s="107">
        <v>1</v>
      </c>
      <c r="AE42" s="107">
        <v>348</v>
      </c>
    </row>
    <row r="43" spans="1:31" ht="16.2" thickBot="1" x14ac:dyDescent="0.3">
      <c r="A43" s="121" t="s">
        <v>48</v>
      </c>
      <c r="B43" s="138">
        <f>B11+B25+B37+B42</f>
        <v>131477</v>
      </c>
      <c r="C43" s="134">
        <f>C11+C25+C37+C42</f>
        <v>89957</v>
      </c>
      <c r="D43" s="138">
        <f>D11+D25+D37+D42</f>
        <v>167216</v>
      </c>
      <c r="E43" s="134">
        <f>SUM(B43:D43)</f>
        <v>388650</v>
      </c>
      <c r="F43" s="134">
        <f t="shared" ref="F43" si="10">F11+F25+F37+F42</f>
        <v>109560</v>
      </c>
      <c r="G43" s="122">
        <f>G11+G25+G37+G42</f>
        <v>725377</v>
      </c>
      <c r="H43" s="122">
        <f t="shared" ref="H43:AE43" si="11">H11+H25+H37+H42</f>
        <v>201</v>
      </c>
      <c r="I43" s="122">
        <f t="shared" si="11"/>
        <v>109</v>
      </c>
      <c r="J43" s="122">
        <f t="shared" si="11"/>
        <v>281</v>
      </c>
      <c r="K43" s="122">
        <f t="shared" si="11"/>
        <v>184</v>
      </c>
      <c r="L43" s="122">
        <f t="shared" si="11"/>
        <v>41</v>
      </c>
      <c r="M43" s="122">
        <f t="shared" si="11"/>
        <v>759</v>
      </c>
      <c r="N43" s="123">
        <f t="shared" si="3"/>
        <v>0.10463524484509434</v>
      </c>
      <c r="O43" s="122">
        <f t="shared" si="11"/>
        <v>339</v>
      </c>
      <c r="P43" s="122">
        <f t="shared" si="11"/>
        <v>149</v>
      </c>
      <c r="Q43" s="122">
        <f t="shared" si="11"/>
        <v>571</v>
      </c>
      <c r="R43" s="122">
        <f t="shared" si="11"/>
        <v>280</v>
      </c>
      <c r="S43" s="122">
        <f t="shared" si="11"/>
        <v>117</v>
      </c>
      <c r="T43" s="122">
        <f t="shared" si="11"/>
        <v>1229</v>
      </c>
      <c r="U43" s="123">
        <f t="shared" si="0"/>
        <v>0.16942913822743208</v>
      </c>
      <c r="V43" s="122">
        <f t="shared" si="11"/>
        <v>377</v>
      </c>
      <c r="W43" s="122">
        <f t="shared" si="11"/>
        <v>177</v>
      </c>
      <c r="X43" s="122">
        <f t="shared" si="11"/>
        <v>813</v>
      </c>
      <c r="Y43" s="122">
        <f t="shared" si="11"/>
        <v>382</v>
      </c>
      <c r="Z43" s="122">
        <f t="shared" si="11"/>
        <v>128</v>
      </c>
      <c r="AA43" s="122">
        <f t="shared" si="11"/>
        <v>547</v>
      </c>
      <c r="AB43" s="123">
        <f t="shared" si="1"/>
        <v>7.5409063149231362E-2</v>
      </c>
      <c r="AC43" s="122">
        <f>AC11+AC25+AC37+AC42</f>
        <v>369</v>
      </c>
      <c r="AD43" s="122">
        <f t="shared" si="11"/>
        <v>40</v>
      </c>
      <c r="AE43" s="122">
        <f t="shared" si="11"/>
        <v>5104</v>
      </c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E330-F749-4E0D-8DC2-53D2862FCCA0}">
  <dimension ref="A1:AE4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F51" sqref="AF51"/>
    </sheetView>
  </sheetViews>
  <sheetFormatPr baseColWidth="10" defaultRowHeight="13.2" outlineLevelCol="1" x14ac:dyDescent="0.25"/>
  <cols>
    <col min="1" max="1" width="27.77734375" customWidth="1"/>
    <col min="2" max="6" width="10.77734375" hidden="1" customWidth="1" outlineLevel="1"/>
    <col min="7" max="7" width="10.77734375" customWidth="1" collapsed="1"/>
    <col min="8" max="12" width="10.77734375" hidden="1" customWidth="1" outlineLevel="1"/>
    <col min="13" max="13" width="10.77734375" customWidth="1" collapsed="1"/>
    <col min="14" max="14" width="10.77734375" customWidth="1"/>
    <col min="15" max="19" width="10.77734375" hidden="1" customWidth="1" outlineLevel="1"/>
    <col min="20" max="20" width="10.77734375" customWidth="1" collapsed="1"/>
    <col min="21" max="21" width="10.77734375" customWidth="1"/>
    <col min="22" max="26" width="10.77734375" hidden="1" customWidth="1" outlineLevel="1"/>
    <col min="27" max="27" width="10.77734375" customWidth="1" collapsed="1"/>
    <col min="28" max="31" width="10.77734375" customWidth="1"/>
  </cols>
  <sheetData>
    <row r="1" spans="1:31" ht="24.6" x14ac:dyDescent="0.4">
      <c r="A1" s="479" t="s">
        <v>111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</row>
    <row r="2" spans="1:31" ht="18" customHeight="1" thickBot="1" x14ac:dyDescent="0.3"/>
    <row r="3" spans="1:31" ht="66" customHeight="1" thickTop="1" thickBot="1" x14ac:dyDescent="0.3">
      <c r="A3" s="480" t="s">
        <v>24</v>
      </c>
      <c r="B3" s="482" t="s">
        <v>0</v>
      </c>
      <c r="C3" s="483"/>
      <c r="D3" s="483"/>
      <c r="E3" s="483"/>
      <c r="F3" s="483"/>
      <c r="G3" s="484"/>
      <c r="H3" s="485" t="s">
        <v>118</v>
      </c>
      <c r="I3" s="486"/>
      <c r="J3" s="486"/>
      <c r="K3" s="486"/>
      <c r="L3" s="486"/>
      <c r="M3" s="487"/>
      <c r="N3" s="488" t="s">
        <v>39</v>
      </c>
      <c r="O3" s="485" t="s">
        <v>41</v>
      </c>
      <c r="P3" s="486"/>
      <c r="Q3" s="486"/>
      <c r="R3" s="486"/>
      <c r="S3" s="486"/>
      <c r="T3" s="487"/>
      <c r="U3" s="482" t="s">
        <v>42</v>
      </c>
      <c r="V3" s="491" t="s">
        <v>43</v>
      </c>
      <c r="W3" s="492"/>
      <c r="X3" s="492"/>
      <c r="Y3" s="492"/>
      <c r="Z3" s="492"/>
      <c r="AA3" s="493" t="s">
        <v>44</v>
      </c>
      <c r="AB3" s="488" t="s">
        <v>42</v>
      </c>
      <c r="AC3" s="95" t="s">
        <v>120</v>
      </c>
      <c r="AD3" s="96" t="s">
        <v>46</v>
      </c>
      <c r="AE3" s="96" t="s">
        <v>47</v>
      </c>
    </row>
    <row r="4" spans="1:31" ht="13.8" customHeight="1" thickBot="1" x14ac:dyDescent="0.3">
      <c r="A4" s="481"/>
      <c r="B4" s="85" t="s">
        <v>29</v>
      </c>
      <c r="C4" s="86" t="s">
        <v>30</v>
      </c>
      <c r="D4" s="86" t="s">
        <v>35</v>
      </c>
      <c r="E4" s="86" t="s">
        <v>31</v>
      </c>
      <c r="F4" s="86" t="s">
        <v>32</v>
      </c>
      <c r="G4" s="86" t="s">
        <v>21</v>
      </c>
      <c r="H4" s="87" t="s">
        <v>29</v>
      </c>
      <c r="I4" s="88" t="s">
        <v>30</v>
      </c>
      <c r="J4" s="88" t="s">
        <v>36</v>
      </c>
      <c r="K4" s="88" t="s">
        <v>33</v>
      </c>
      <c r="L4" s="88" t="s">
        <v>32</v>
      </c>
      <c r="M4" s="88" t="s">
        <v>21</v>
      </c>
      <c r="N4" s="489"/>
      <c r="O4" s="88" t="s">
        <v>29</v>
      </c>
      <c r="P4" s="88" t="s">
        <v>30</v>
      </c>
      <c r="Q4" s="88" t="s">
        <v>35</v>
      </c>
      <c r="R4" s="88" t="s">
        <v>31</v>
      </c>
      <c r="S4" s="88" t="s">
        <v>32</v>
      </c>
      <c r="T4" s="88" t="s">
        <v>21</v>
      </c>
      <c r="U4" s="490"/>
      <c r="V4" s="88" t="s">
        <v>29</v>
      </c>
      <c r="W4" s="88" t="s">
        <v>30</v>
      </c>
      <c r="X4" s="88" t="s">
        <v>36</v>
      </c>
      <c r="Y4" s="88" t="s">
        <v>33</v>
      </c>
      <c r="Z4" s="88" t="s">
        <v>32</v>
      </c>
      <c r="AA4" s="88" t="s">
        <v>21</v>
      </c>
      <c r="AB4" s="489"/>
      <c r="AC4" s="88" t="s">
        <v>21</v>
      </c>
      <c r="AD4" s="88" t="s">
        <v>21</v>
      </c>
      <c r="AE4" s="88" t="s">
        <v>21</v>
      </c>
    </row>
    <row r="5" spans="1:31" ht="15" thickTop="1" thickBot="1" x14ac:dyDescent="0.3">
      <c r="A5" s="92" t="s">
        <v>49</v>
      </c>
      <c r="B5" s="92"/>
      <c r="C5" s="92"/>
      <c r="D5" s="92"/>
      <c r="E5" s="92"/>
      <c r="F5" s="92"/>
      <c r="G5" s="140"/>
      <c r="H5" s="92"/>
      <c r="I5" s="92"/>
      <c r="J5" s="92"/>
      <c r="K5" s="92"/>
      <c r="L5" s="135"/>
      <c r="M5" s="135"/>
      <c r="N5" s="135"/>
      <c r="O5" s="92"/>
      <c r="P5" s="92"/>
      <c r="Q5" s="92"/>
      <c r="R5" s="92"/>
      <c r="S5" s="92"/>
      <c r="T5" s="92"/>
      <c r="U5" s="136"/>
      <c r="V5" s="135"/>
      <c r="W5" s="135"/>
      <c r="X5" s="135"/>
      <c r="Y5" s="135"/>
      <c r="Z5" s="135"/>
      <c r="AA5" s="135"/>
      <c r="AB5" s="135"/>
      <c r="AC5" s="135"/>
      <c r="AD5" s="135"/>
      <c r="AE5" s="135"/>
    </row>
    <row r="6" spans="1:31" ht="14.4" thickBot="1" x14ac:dyDescent="0.3">
      <c r="A6" s="89" t="s">
        <v>1</v>
      </c>
      <c r="B6" s="97">
        <v>196</v>
      </c>
      <c r="C6" s="97">
        <v>69</v>
      </c>
      <c r="D6" s="97">
        <v>268</v>
      </c>
      <c r="E6" s="137">
        <v>94</v>
      </c>
      <c r="F6" s="97">
        <v>145</v>
      </c>
      <c r="G6" s="98">
        <v>509</v>
      </c>
      <c r="H6" s="97">
        <v>2</v>
      </c>
      <c r="I6" s="97">
        <v>0</v>
      </c>
      <c r="J6" s="97">
        <v>0</v>
      </c>
      <c r="K6" s="97">
        <v>0</v>
      </c>
      <c r="L6" s="97">
        <v>0</v>
      </c>
      <c r="M6" s="101">
        <v>6</v>
      </c>
      <c r="N6" s="99">
        <f>M6*100/G6</f>
        <v>1.1787819253438114</v>
      </c>
      <c r="O6" s="97">
        <v>0</v>
      </c>
      <c r="P6" s="97">
        <v>0</v>
      </c>
      <c r="Q6" s="97">
        <v>2</v>
      </c>
      <c r="R6" s="97">
        <v>0</v>
      </c>
      <c r="S6" s="97">
        <v>1</v>
      </c>
      <c r="T6" s="101">
        <v>11</v>
      </c>
      <c r="U6" s="99">
        <f>T6*100/G6</f>
        <v>2.161100196463654</v>
      </c>
      <c r="V6" s="97">
        <v>2</v>
      </c>
      <c r="W6" s="97">
        <v>2</v>
      </c>
      <c r="X6" s="97">
        <v>6</v>
      </c>
      <c r="Y6" s="97">
        <v>0</v>
      </c>
      <c r="Z6" s="97">
        <v>0</v>
      </c>
      <c r="AA6" s="97">
        <v>2</v>
      </c>
      <c r="AB6" s="99">
        <f>AA6*100/G6</f>
        <v>0.39292730844793711</v>
      </c>
      <c r="AC6" s="101">
        <v>0</v>
      </c>
      <c r="AD6" s="101">
        <v>0</v>
      </c>
      <c r="AE6" s="101">
        <v>22</v>
      </c>
    </row>
    <row r="7" spans="1:31" ht="14.4" thickBot="1" x14ac:dyDescent="0.3">
      <c r="A7" s="90" t="s">
        <v>2</v>
      </c>
      <c r="B7" s="97">
        <v>1358</v>
      </c>
      <c r="C7" s="97">
        <v>371</v>
      </c>
      <c r="D7" s="97">
        <v>1721</v>
      </c>
      <c r="E7" s="137">
        <v>1418</v>
      </c>
      <c r="F7" s="97">
        <v>713</v>
      </c>
      <c r="G7" s="98">
        <v>3873</v>
      </c>
      <c r="H7" s="97">
        <v>1</v>
      </c>
      <c r="I7" s="97">
        <v>1</v>
      </c>
      <c r="J7" s="97">
        <v>9</v>
      </c>
      <c r="K7" s="97">
        <v>1</v>
      </c>
      <c r="L7" s="97">
        <v>0</v>
      </c>
      <c r="M7" s="97">
        <v>10</v>
      </c>
      <c r="N7" s="99">
        <f>M7*100/G7</f>
        <v>0.25819777949909628</v>
      </c>
      <c r="O7" s="97">
        <v>13</v>
      </c>
      <c r="P7" s="97">
        <v>3</v>
      </c>
      <c r="Q7" s="97">
        <v>17</v>
      </c>
      <c r="R7" s="97">
        <v>8</v>
      </c>
      <c r="S7" s="97">
        <v>4</v>
      </c>
      <c r="T7" s="97">
        <v>14</v>
      </c>
      <c r="U7" s="99">
        <f>T7*100/G7</f>
        <v>0.36147689129873484</v>
      </c>
      <c r="V7" s="97">
        <v>8</v>
      </c>
      <c r="W7" s="97">
        <v>1</v>
      </c>
      <c r="X7" s="97">
        <v>33</v>
      </c>
      <c r="Y7" s="97">
        <v>6</v>
      </c>
      <c r="Z7" s="97">
        <v>4</v>
      </c>
      <c r="AA7" s="97">
        <v>16</v>
      </c>
      <c r="AB7" s="99">
        <f>AA7*100/G7</f>
        <v>0.41311644719855412</v>
      </c>
      <c r="AC7" s="101">
        <v>2</v>
      </c>
      <c r="AD7" s="101">
        <v>1</v>
      </c>
      <c r="AE7" s="101">
        <v>127</v>
      </c>
    </row>
    <row r="8" spans="1:31" ht="14.4" thickBot="1" x14ac:dyDescent="0.3">
      <c r="A8" s="90" t="s">
        <v>14</v>
      </c>
      <c r="B8" s="97">
        <v>153</v>
      </c>
      <c r="C8" s="97">
        <v>87</v>
      </c>
      <c r="D8" s="97">
        <v>245</v>
      </c>
      <c r="E8" s="137">
        <v>162</v>
      </c>
      <c r="F8" s="97">
        <v>84</v>
      </c>
      <c r="G8" s="98">
        <v>515</v>
      </c>
      <c r="H8" s="97">
        <v>1</v>
      </c>
      <c r="I8" s="97">
        <v>0</v>
      </c>
      <c r="J8" s="97">
        <v>0</v>
      </c>
      <c r="K8" s="97">
        <v>0</v>
      </c>
      <c r="L8" s="97">
        <v>0</v>
      </c>
      <c r="M8" s="101">
        <v>1</v>
      </c>
      <c r="N8" s="99">
        <f>M8*100/G8</f>
        <v>0.1941747572815534</v>
      </c>
      <c r="O8" s="97">
        <v>0</v>
      </c>
      <c r="P8" s="97">
        <v>0</v>
      </c>
      <c r="Q8" s="97">
        <v>1</v>
      </c>
      <c r="R8" s="97">
        <v>0</v>
      </c>
      <c r="S8" s="97">
        <v>0</v>
      </c>
      <c r="T8" s="101">
        <v>0</v>
      </c>
      <c r="U8" s="99">
        <f t="shared" ref="U8:U43" si="0">T8*100/G8</f>
        <v>0</v>
      </c>
      <c r="V8" s="97">
        <v>1</v>
      </c>
      <c r="W8" s="97">
        <v>0</v>
      </c>
      <c r="X8" s="97">
        <v>6</v>
      </c>
      <c r="Y8" s="97">
        <v>0</v>
      </c>
      <c r="Z8" s="97">
        <v>0</v>
      </c>
      <c r="AA8" s="97">
        <v>0</v>
      </c>
      <c r="AB8" s="99">
        <f t="shared" ref="AB8:AB43" si="1">AA8*100/G8</f>
        <v>0</v>
      </c>
      <c r="AC8" s="101">
        <v>0</v>
      </c>
      <c r="AD8" s="101">
        <v>0</v>
      </c>
      <c r="AE8" s="101">
        <v>13</v>
      </c>
    </row>
    <row r="9" spans="1:31" ht="14.4" thickBot="1" x14ac:dyDescent="0.3">
      <c r="A9" s="90" t="s">
        <v>3</v>
      </c>
      <c r="B9" s="97">
        <v>147</v>
      </c>
      <c r="C9" s="97">
        <v>85</v>
      </c>
      <c r="D9" s="97">
        <v>268</v>
      </c>
      <c r="E9" s="137">
        <v>243</v>
      </c>
      <c r="F9" s="97">
        <v>94</v>
      </c>
      <c r="G9" s="98">
        <v>681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2</v>
      </c>
      <c r="N9" s="99">
        <f>M9*100/G9</f>
        <v>0.29368575624082233</v>
      </c>
      <c r="O9" s="97">
        <v>3</v>
      </c>
      <c r="P9" s="97">
        <v>0</v>
      </c>
      <c r="Q9" s="97">
        <v>5</v>
      </c>
      <c r="R9" s="97">
        <v>2</v>
      </c>
      <c r="S9" s="97">
        <v>0</v>
      </c>
      <c r="T9" s="97">
        <v>2</v>
      </c>
      <c r="U9" s="99">
        <f t="shared" si="0"/>
        <v>0.29368575624082233</v>
      </c>
      <c r="V9" s="97">
        <v>0</v>
      </c>
      <c r="W9" s="97">
        <v>0</v>
      </c>
      <c r="X9" s="97">
        <v>6</v>
      </c>
      <c r="Y9" s="97">
        <v>3</v>
      </c>
      <c r="Z9" s="97">
        <v>1</v>
      </c>
      <c r="AA9" s="97">
        <v>2</v>
      </c>
      <c r="AB9" s="99">
        <f t="shared" si="1"/>
        <v>0.29368575624082233</v>
      </c>
      <c r="AC9" s="101">
        <v>0</v>
      </c>
      <c r="AD9" s="101">
        <v>0</v>
      </c>
      <c r="AE9" s="101">
        <v>28</v>
      </c>
    </row>
    <row r="10" spans="1:31" ht="23.4" thickBot="1" x14ac:dyDescent="0.3">
      <c r="A10" s="139" t="s">
        <v>23</v>
      </c>
      <c r="B10" s="97">
        <v>1074</v>
      </c>
      <c r="C10" s="97">
        <v>243</v>
      </c>
      <c r="D10" s="97">
        <v>1310</v>
      </c>
      <c r="E10" s="137">
        <v>752</v>
      </c>
      <c r="F10" s="97">
        <v>524</v>
      </c>
      <c r="G10" s="98">
        <v>3768</v>
      </c>
      <c r="H10" s="97">
        <v>4</v>
      </c>
      <c r="I10" s="97">
        <v>0</v>
      </c>
      <c r="J10" s="97">
        <v>2</v>
      </c>
      <c r="K10" s="97">
        <v>3</v>
      </c>
      <c r="L10" s="97">
        <v>0</v>
      </c>
      <c r="M10" s="97">
        <v>5</v>
      </c>
      <c r="N10" s="99">
        <f>M10*100/G10</f>
        <v>0.1326963906581741</v>
      </c>
      <c r="O10" s="97">
        <v>15</v>
      </c>
      <c r="P10" s="97">
        <v>0</v>
      </c>
      <c r="Q10" s="97">
        <v>7</v>
      </c>
      <c r="R10" s="97">
        <v>11</v>
      </c>
      <c r="S10" s="97">
        <v>2</v>
      </c>
      <c r="T10" s="100">
        <v>14</v>
      </c>
      <c r="U10" s="99">
        <f t="shared" si="0"/>
        <v>0.37154989384288745</v>
      </c>
      <c r="V10" s="97">
        <v>7</v>
      </c>
      <c r="W10" s="97">
        <v>2</v>
      </c>
      <c r="X10" s="97">
        <v>17</v>
      </c>
      <c r="Y10" s="97">
        <v>0</v>
      </c>
      <c r="Z10" s="97">
        <v>0</v>
      </c>
      <c r="AA10" s="97">
        <v>9</v>
      </c>
      <c r="AB10" s="99">
        <f t="shared" si="1"/>
        <v>0.23885350318471338</v>
      </c>
      <c r="AC10" s="101">
        <v>1</v>
      </c>
      <c r="AD10" s="101">
        <v>1</v>
      </c>
      <c r="AE10" s="101">
        <v>116</v>
      </c>
    </row>
    <row r="11" spans="1:31" s="132" customFormat="1" ht="14.4" thickBot="1" x14ac:dyDescent="0.3">
      <c r="A11" s="124" t="s">
        <v>21</v>
      </c>
      <c r="B11" s="105">
        <f t="shared" ref="B11:L11" si="2">SUM(B6:B10)</f>
        <v>2928</v>
      </c>
      <c r="C11" s="105">
        <f t="shared" si="2"/>
        <v>855</v>
      </c>
      <c r="D11" s="105">
        <f t="shared" si="2"/>
        <v>3812</v>
      </c>
      <c r="E11" s="105">
        <f t="shared" si="2"/>
        <v>2669</v>
      </c>
      <c r="F11" s="105">
        <f t="shared" si="2"/>
        <v>1560</v>
      </c>
      <c r="G11" s="102">
        <v>9346</v>
      </c>
      <c r="H11" s="111">
        <f t="shared" si="2"/>
        <v>8</v>
      </c>
      <c r="I11" s="111">
        <f t="shared" si="2"/>
        <v>1</v>
      </c>
      <c r="J11" s="111">
        <f t="shared" si="2"/>
        <v>11</v>
      </c>
      <c r="K11" s="111">
        <f t="shared" si="2"/>
        <v>4</v>
      </c>
      <c r="L11" s="111">
        <f t="shared" si="2"/>
        <v>0</v>
      </c>
      <c r="M11" s="103">
        <v>24</v>
      </c>
      <c r="N11" s="104">
        <f t="shared" ref="N11:N43" si="3">M11*100/G11</f>
        <v>0.25679435052428845</v>
      </c>
      <c r="O11" s="105">
        <f>SUM(O7:O10)</f>
        <v>31</v>
      </c>
      <c r="P11" s="105">
        <f>SUM(P6:P10)</f>
        <v>3</v>
      </c>
      <c r="Q11" s="105">
        <f>SUM(Q6:Q10)</f>
        <v>32</v>
      </c>
      <c r="R11" s="105">
        <f>SUM(R6:R10)</f>
        <v>21</v>
      </c>
      <c r="S11" s="105">
        <f>SUM(S6:S10)</f>
        <v>7</v>
      </c>
      <c r="T11" s="103">
        <v>41</v>
      </c>
      <c r="U11" s="104">
        <f t="shared" si="0"/>
        <v>0.4386903488123261</v>
      </c>
      <c r="V11" s="105">
        <f>SUM(V7:V10)</f>
        <v>16</v>
      </c>
      <c r="W11" s="105">
        <f>SUM(W6:W10)</f>
        <v>5</v>
      </c>
      <c r="X11" s="105">
        <f>SUM(X6:X10)</f>
        <v>68</v>
      </c>
      <c r="Y11" s="105">
        <f>SUM(Y6:Y10)</f>
        <v>9</v>
      </c>
      <c r="Z11" s="105">
        <f>SUM(Z6:Z10)</f>
        <v>5</v>
      </c>
      <c r="AA11" s="103">
        <v>41</v>
      </c>
      <c r="AB11" s="104">
        <f t="shared" si="1"/>
        <v>0.4386903488123261</v>
      </c>
      <c r="AC11" s="107">
        <f>SUM(AC6:AC10)</f>
        <v>3</v>
      </c>
      <c r="AD11" s="107">
        <f t="shared" ref="AD11:AE11" si="4">SUM(AD6:AD10)</f>
        <v>2</v>
      </c>
      <c r="AE11" s="107">
        <f t="shared" si="4"/>
        <v>306</v>
      </c>
    </row>
    <row r="12" spans="1:31" ht="13.8" x14ac:dyDescent="0.25">
      <c r="A12" s="125"/>
      <c r="B12" s="119"/>
      <c r="C12" s="119"/>
      <c r="D12" s="119"/>
      <c r="E12" s="119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27"/>
      <c r="AD12" s="127"/>
      <c r="AE12" s="127"/>
    </row>
    <row r="13" spans="1:31" ht="14.4" thickBot="1" x14ac:dyDescent="0.3">
      <c r="A13" s="3" t="s">
        <v>51</v>
      </c>
      <c r="B13" s="108"/>
      <c r="C13" s="108"/>
      <c r="D13" s="108"/>
      <c r="E13" s="108"/>
      <c r="F13" s="11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27"/>
      <c r="AD13" s="127"/>
      <c r="AE13" s="127"/>
    </row>
    <row r="14" spans="1:31" ht="14.4" thickBot="1" x14ac:dyDescent="0.3">
      <c r="A14" s="89" t="s">
        <v>4</v>
      </c>
      <c r="B14" s="97">
        <v>56</v>
      </c>
      <c r="C14" s="97">
        <v>6</v>
      </c>
      <c r="D14" s="97">
        <v>82</v>
      </c>
      <c r="E14" s="97">
        <v>25</v>
      </c>
      <c r="F14" s="97">
        <v>24</v>
      </c>
      <c r="G14" s="98">
        <v>112</v>
      </c>
      <c r="H14" s="97">
        <v>0</v>
      </c>
      <c r="I14" s="97">
        <v>0</v>
      </c>
      <c r="J14" s="97">
        <v>0</v>
      </c>
      <c r="K14" s="97">
        <v>1</v>
      </c>
      <c r="L14" s="97">
        <v>0</v>
      </c>
      <c r="M14" s="101">
        <v>0</v>
      </c>
      <c r="N14" s="99">
        <f t="shared" si="3"/>
        <v>0</v>
      </c>
      <c r="O14" s="97">
        <v>0</v>
      </c>
      <c r="P14" s="97">
        <v>0</v>
      </c>
      <c r="Q14" s="97">
        <v>0</v>
      </c>
      <c r="R14" s="97">
        <v>1</v>
      </c>
      <c r="S14" s="97">
        <v>0</v>
      </c>
      <c r="T14" s="97">
        <v>0</v>
      </c>
      <c r="U14" s="99">
        <f t="shared" si="0"/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1">
        <v>0</v>
      </c>
      <c r="AB14" s="99">
        <f t="shared" si="1"/>
        <v>0</v>
      </c>
      <c r="AC14" s="101">
        <v>0</v>
      </c>
      <c r="AD14" s="101">
        <v>0</v>
      </c>
      <c r="AE14" s="101">
        <v>1</v>
      </c>
    </row>
    <row r="15" spans="1:31" ht="14.4" thickBot="1" x14ac:dyDescent="0.3">
      <c r="A15" s="89" t="s">
        <v>5</v>
      </c>
      <c r="B15" s="97">
        <v>88</v>
      </c>
      <c r="C15" s="97">
        <v>31</v>
      </c>
      <c r="D15" s="97">
        <v>181</v>
      </c>
      <c r="E15" s="97">
        <v>190</v>
      </c>
      <c r="F15" s="97">
        <v>63</v>
      </c>
      <c r="G15" s="98">
        <v>716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2</v>
      </c>
      <c r="N15" s="99">
        <f t="shared" si="3"/>
        <v>0.27932960893854747</v>
      </c>
      <c r="O15" s="97">
        <v>0</v>
      </c>
      <c r="P15" s="97">
        <v>0</v>
      </c>
      <c r="Q15" s="97">
        <v>3</v>
      </c>
      <c r="R15" s="97">
        <v>2</v>
      </c>
      <c r="S15" s="97">
        <v>0</v>
      </c>
      <c r="T15" s="97">
        <v>8</v>
      </c>
      <c r="U15" s="99">
        <f t="shared" si="0"/>
        <v>1.1173184357541899</v>
      </c>
      <c r="V15" s="97">
        <v>0</v>
      </c>
      <c r="W15" s="97">
        <v>0</v>
      </c>
      <c r="X15" s="97">
        <v>0</v>
      </c>
      <c r="Y15" s="97">
        <v>3</v>
      </c>
      <c r="Z15" s="97">
        <v>1</v>
      </c>
      <c r="AA15" s="97">
        <v>2</v>
      </c>
      <c r="AB15" s="99">
        <f t="shared" si="1"/>
        <v>0.27932960893854747</v>
      </c>
      <c r="AC15" s="101">
        <v>5</v>
      </c>
      <c r="AD15" s="101">
        <v>8</v>
      </c>
      <c r="AE15" s="101">
        <v>32</v>
      </c>
    </row>
    <row r="16" spans="1:31" ht="14.4" thickBot="1" x14ac:dyDescent="0.3">
      <c r="A16" s="89" t="s">
        <v>6</v>
      </c>
      <c r="B16" s="109">
        <v>48</v>
      </c>
      <c r="C16" s="97">
        <v>26</v>
      </c>
      <c r="D16" s="97">
        <v>58</v>
      </c>
      <c r="E16" s="97">
        <v>61</v>
      </c>
      <c r="F16" s="97">
        <v>36</v>
      </c>
      <c r="G16" s="98">
        <v>233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101">
        <v>0</v>
      </c>
      <c r="N16" s="99">
        <f t="shared" si="3"/>
        <v>0</v>
      </c>
      <c r="O16" s="97">
        <v>0</v>
      </c>
      <c r="P16" s="97">
        <v>0</v>
      </c>
      <c r="Q16" s="97">
        <v>2</v>
      </c>
      <c r="R16" s="97">
        <v>0</v>
      </c>
      <c r="S16" s="97">
        <v>0</v>
      </c>
      <c r="T16" s="97">
        <v>1</v>
      </c>
      <c r="U16" s="99">
        <f t="shared" si="0"/>
        <v>0.42918454935622319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9">
        <f t="shared" si="1"/>
        <v>0</v>
      </c>
      <c r="AC16" s="101">
        <v>1</v>
      </c>
      <c r="AD16" s="101">
        <v>0</v>
      </c>
      <c r="AE16" s="101">
        <v>5</v>
      </c>
    </row>
    <row r="17" spans="1:31" ht="14.4" thickBot="1" x14ac:dyDescent="0.3">
      <c r="A17" s="89" t="s">
        <v>7</v>
      </c>
      <c r="B17" s="97">
        <v>69</v>
      </c>
      <c r="C17" s="97">
        <v>21</v>
      </c>
      <c r="D17" s="97">
        <v>45</v>
      </c>
      <c r="E17" s="97">
        <v>32</v>
      </c>
      <c r="F17" s="97">
        <v>22</v>
      </c>
      <c r="G17" s="98">
        <v>159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v>1</v>
      </c>
      <c r="N17" s="99">
        <f t="shared" si="3"/>
        <v>0.62893081761006286</v>
      </c>
      <c r="O17" s="97">
        <v>1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9">
        <f t="shared" si="0"/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101">
        <v>0</v>
      </c>
      <c r="AB17" s="99">
        <f t="shared" si="1"/>
        <v>0</v>
      </c>
      <c r="AC17" s="101">
        <v>2</v>
      </c>
      <c r="AD17" s="101">
        <v>0</v>
      </c>
      <c r="AE17" s="101">
        <v>3</v>
      </c>
    </row>
    <row r="18" spans="1:31" ht="14.4" thickBot="1" x14ac:dyDescent="0.3">
      <c r="A18" s="89" t="s">
        <v>8</v>
      </c>
      <c r="B18" s="97">
        <v>7</v>
      </c>
      <c r="C18" s="97">
        <v>2</v>
      </c>
      <c r="D18" s="97">
        <v>8</v>
      </c>
      <c r="E18" s="97">
        <v>12</v>
      </c>
      <c r="F18" s="97">
        <v>2</v>
      </c>
      <c r="G18" s="98">
        <v>29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9">
        <f t="shared" si="3"/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101">
        <v>0</v>
      </c>
      <c r="U18" s="99">
        <f t="shared" si="0"/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9">
        <f t="shared" si="1"/>
        <v>0</v>
      </c>
      <c r="AC18" s="101">
        <v>0</v>
      </c>
      <c r="AD18" s="101">
        <v>0</v>
      </c>
      <c r="AE18" s="101">
        <v>0</v>
      </c>
    </row>
    <row r="19" spans="1:31" ht="14.4" thickBot="1" x14ac:dyDescent="0.3">
      <c r="A19" s="89" t="s">
        <v>9</v>
      </c>
      <c r="B19" s="97">
        <v>29</v>
      </c>
      <c r="C19" s="97">
        <v>13</v>
      </c>
      <c r="D19" s="97">
        <v>42</v>
      </c>
      <c r="E19" s="97">
        <v>37</v>
      </c>
      <c r="F19" s="97">
        <v>15</v>
      </c>
      <c r="G19" s="98">
        <v>99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101">
        <v>0</v>
      </c>
      <c r="N19" s="99">
        <f t="shared" si="3"/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01">
        <v>0</v>
      </c>
      <c r="U19" s="99">
        <f t="shared" si="0"/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1">
        <v>1</v>
      </c>
      <c r="AB19" s="99">
        <f t="shared" si="1"/>
        <v>1.0101010101010102</v>
      </c>
      <c r="AC19" s="101">
        <v>0</v>
      </c>
      <c r="AD19" s="101">
        <v>0</v>
      </c>
      <c r="AE19" s="101">
        <v>1</v>
      </c>
    </row>
    <row r="20" spans="1:31" ht="14.4" thickBot="1" x14ac:dyDescent="0.3">
      <c r="A20" s="89" t="s">
        <v>10</v>
      </c>
      <c r="B20" s="97">
        <v>9</v>
      </c>
      <c r="C20" s="97">
        <v>5</v>
      </c>
      <c r="D20" s="97">
        <v>12</v>
      </c>
      <c r="E20" s="97">
        <v>23</v>
      </c>
      <c r="F20" s="97">
        <v>3</v>
      </c>
      <c r="G20" s="98">
        <v>58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101">
        <v>0</v>
      </c>
      <c r="N20" s="99">
        <f t="shared" si="3"/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101">
        <v>0</v>
      </c>
      <c r="U20" s="99">
        <f t="shared" si="0"/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101">
        <v>0</v>
      </c>
      <c r="AB20" s="99">
        <f t="shared" si="1"/>
        <v>0</v>
      </c>
      <c r="AC20" s="101">
        <v>0</v>
      </c>
      <c r="AD20" s="101">
        <v>0</v>
      </c>
      <c r="AE20" s="101">
        <v>0</v>
      </c>
    </row>
    <row r="21" spans="1:31" ht="14.4" thickBot="1" x14ac:dyDescent="0.3">
      <c r="A21" s="89" t="s">
        <v>11</v>
      </c>
      <c r="B21" s="97">
        <v>50</v>
      </c>
      <c r="C21" s="97">
        <v>12</v>
      </c>
      <c r="D21" s="97">
        <v>74</v>
      </c>
      <c r="E21" s="97">
        <v>97</v>
      </c>
      <c r="F21" s="97">
        <v>29</v>
      </c>
      <c r="G21" s="98">
        <v>256</v>
      </c>
      <c r="H21" s="97">
        <v>0</v>
      </c>
      <c r="I21" s="97">
        <v>0</v>
      </c>
      <c r="J21" s="97">
        <v>0</v>
      </c>
      <c r="K21" s="97">
        <v>1</v>
      </c>
      <c r="L21" s="97">
        <v>0</v>
      </c>
      <c r="M21" s="97">
        <v>1</v>
      </c>
      <c r="N21" s="99">
        <f t="shared" si="3"/>
        <v>0.390625</v>
      </c>
      <c r="O21" s="97">
        <v>0</v>
      </c>
      <c r="P21" s="97">
        <v>0</v>
      </c>
      <c r="Q21" s="97">
        <v>1</v>
      </c>
      <c r="R21" s="97">
        <v>0</v>
      </c>
      <c r="S21" s="97">
        <v>0</v>
      </c>
      <c r="T21" s="97">
        <v>3</v>
      </c>
      <c r="U21" s="99">
        <f t="shared" si="0"/>
        <v>1.171875</v>
      </c>
      <c r="V21" s="97">
        <v>0</v>
      </c>
      <c r="W21" s="97">
        <v>0</v>
      </c>
      <c r="X21" s="97">
        <v>2</v>
      </c>
      <c r="Y21" s="97">
        <v>2</v>
      </c>
      <c r="Z21" s="97">
        <v>0</v>
      </c>
      <c r="AA21" s="97">
        <v>6</v>
      </c>
      <c r="AB21" s="99">
        <f t="shared" si="1"/>
        <v>2.34375</v>
      </c>
      <c r="AC21" s="101">
        <v>2</v>
      </c>
      <c r="AD21" s="101">
        <v>3</v>
      </c>
      <c r="AE21" s="101">
        <v>19</v>
      </c>
    </row>
    <row r="22" spans="1:31" ht="14.4" thickBot="1" x14ac:dyDescent="0.3">
      <c r="A22" s="89" t="s">
        <v>12</v>
      </c>
      <c r="B22" s="97">
        <v>1685</v>
      </c>
      <c r="C22" s="97">
        <v>868</v>
      </c>
      <c r="D22" s="97">
        <v>3157</v>
      </c>
      <c r="E22" s="97">
        <v>2444</v>
      </c>
      <c r="F22" s="97">
        <v>1110</v>
      </c>
      <c r="G22" s="98">
        <v>7445</v>
      </c>
      <c r="H22" s="97">
        <v>7</v>
      </c>
      <c r="I22" s="97">
        <v>2</v>
      </c>
      <c r="J22" s="97">
        <v>9</v>
      </c>
      <c r="K22" s="97">
        <v>9</v>
      </c>
      <c r="L22" s="97">
        <v>1</v>
      </c>
      <c r="M22" s="97">
        <v>21</v>
      </c>
      <c r="N22" s="99">
        <f t="shared" si="3"/>
        <v>0.28206850235057085</v>
      </c>
      <c r="O22" s="97">
        <v>6</v>
      </c>
      <c r="P22" s="97">
        <v>4</v>
      </c>
      <c r="Q22" s="97">
        <v>34</v>
      </c>
      <c r="R22" s="97">
        <v>7</v>
      </c>
      <c r="S22" s="97">
        <v>3</v>
      </c>
      <c r="T22" s="97">
        <v>20</v>
      </c>
      <c r="U22" s="99">
        <f t="shared" si="0"/>
        <v>0.26863666890530558</v>
      </c>
      <c r="V22" s="97">
        <v>4</v>
      </c>
      <c r="W22" s="97">
        <v>4</v>
      </c>
      <c r="X22" s="97">
        <v>72</v>
      </c>
      <c r="Y22" s="97">
        <v>11</v>
      </c>
      <c r="Z22" s="97">
        <v>1</v>
      </c>
      <c r="AA22" s="97">
        <v>18</v>
      </c>
      <c r="AB22" s="99">
        <f t="shared" si="1"/>
        <v>0.24177300201477503</v>
      </c>
      <c r="AC22" s="101">
        <v>8</v>
      </c>
      <c r="AD22" s="101">
        <v>4</v>
      </c>
      <c r="AE22" s="101">
        <v>186</v>
      </c>
    </row>
    <row r="23" spans="1:31" ht="14.4" thickBot="1" x14ac:dyDescent="0.3">
      <c r="A23" s="89" t="s">
        <v>13</v>
      </c>
      <c r="B23" s="97">
        <v>10</v>
      </c>
      <c r="C23" s="97">
        <v>3</v>
      </c>
      <c r="D23" s="97">
        <v>4</v>
      </c>
      <c r="E23" s="97">
        <v>6</v>
      </c>
      <c r="F23" s="97">
        <v>3</v>
      </c>
      <c r="G23" s="98">
        <v>32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9">
        <f t="shared" si="3"/>
        <v>0</v>
      </c>
      <c r="O23" s="97">
        <v>1</v>
      </c>
      <c r="P23" s="97">
        <v>0</v>
      </c>
      <c r="Q23" s="97">
        <v>0</v>
      </c>
      <c r="R23" s="97">
        <v>0</v>
      </c>
      <c r="S23" s="97">
        <v>0</v>
      </c>
      <c r="T23" s="97">
        <v>1</v>
      </c>
      <c r="U23" s="99">
        <f t="shared" si="0"/>
        <v>3.125</v>
      </c>
      <c r="V23" s="97">
        <v>0</v>
      </c>
      <c r="W23" s="97">
        <v>0</v>
      </c>
      <c r="X23" s="97">
        <v>0</v>
      </c>
      <c r="Y23" s="97">
        <v>1</v>
      </c>
      <c r="Z23" s="97">
        <v>0</v>
      </c>
      <c r="AA23" s="97">
        <v>0</v>
      </c>
      <c r="AB23" s="99">
        <f t="shared" si="1"/>
        <v>0</v>
      </c>
      <c r="AC23" s="101">
        <v>0</v>
      </c>
      <c r="AD23" s="101">
        <v>0</v>
      </c>
      <c r="AE23" s="101">
        <v>13</v>
      </c>
    </row>
    <row r="24" spans="1:31" ht="23.4" thickBot="1" x14ac:dyDescent="0.3">
      <c r="A24" s="139" t="s">
        <v>23</v>
      </c>
      <c r="B24" s="110">
        <v>319</v>
      </c>
      <c r="C24" s="110">
        <v>59</v>
      </c>
      <c r="D24" s="97">
        <v>0</v>
      </c>
      <c r="E24" s="110">
        <v>380</v>
      </c>
      <c r="F24" s="97">
        <v>200</v>
      </c>
      <c r="G24" s="98">
        <v>1955</v>
      </c>
      <c r="H24" s="110">
        <v>0</v>
      </c>
      <c r="I24" s="97">
        <v>0</v>
      </c>
      <c r="J24" s="97">
        <v>0</v>
      </c>
      <c r="K24" s="97">
        <v>0</v>
      </c>
      <c r="L24" s="97">
        <v>0</v>
      </c>
      <c r="M24" s="97">
        <v>6</v>
      </c>
      <c r="N24" s="99">
        <f t="shared" si="3"/>
        <v>0.30690537084398978</v>
      </c>
      <c r="O24" s="110">
        <v>0</v>
      </c>
      <c r="P24" s="97">
        <v>0</v>
      </c>
      <c r="Q24" s="110">
        <v>0</v>
      </c>
      <c r="R24" s="110">
        <v>0</v>
      </c>
      <c r="S24" s="97">
        <v>0</v>
      </c>
      <c r="T24" s="97">
        <v>5</v>
      </c>
      <c r="U24" s="99">
        <f t="shared" si="0"/>
        <v>0.25575447570332482</v>
      </c>
      <c r="V24" s="110">
        <v>1</v>
      </c>
      <c r="W24" s="110">
        <v>0</v>
      </c>
      <c r="X24" s="110">
        <v>0</v>
      </c>
      <c r="Y24" s="110">
        <v>0</v>
      </c>
      <c r="Z24" s="110">
        <v>0</v>
      </c>
      <c r="AA24" s="97">
        <v>0</v>
      </c>
      <c r="AB24" s="99">
        <f t="shared" si="1"/>
        <v>0</v>
      </c>
      <c r="AC24" s="101">
        <v>2</v>
      </c>
      <c r="AD24" s="101">
        <v>0</v>
      </c>
      <c r="AE24" s="101">
        <v>78</v>
      </c>
    </row>
    <row r="25" spans="1:31" s="132" customFormat="1" ht="14.4" thickBot="1" x14ac:dyDescent="0.3">
      <c r="A25" s="128" t="s">
        <v>22</v>
      </c>
      <c r="B25" s="111">
        <f t="shared" ref="B25:L25" si="5">SUM(B14:B24)</f>
        <v>2370</v>
      </c>
      <c r="C25" s="111">
        <f t="shared" si="5"/>
        <v>1046</v>
      </c>
      <c r="D25" s="111">
        <f t="shared" si="5"/>
        <v>3663</v>
      </c>
      <c r="E25" s="111">
        <f t="shared" si="5"/>
        <v>3307</v>
      </c>
      <c r="F25" s="111">
        <f t="shared" si="5"/>
        <v>1507</v>
      </c>
      <c r="G25" s="102">
        <v>11094</v>
      </c>
      <c r="H25" s="111">
        <f t="shared" si="5"/>
        <v>7</v>
      </c>
      <c r="I25" s="111">
        <f t="shared" si="5"/>
        <v>2</v>
      </c>
      <c r="J25" s="111">
        <f t="shared" si="5"/>
        <v>9</v>
      </c>
      <c r="K25" s="111">
        <f t="shared" si="5"/>
        <v>11</v>
      </c>
      <c r="L25" s="111">
        <f t="shared" si="5"/>
        <v>1</v>
      </c>
      <c r="M25" s="103">
        <v>31</v>
      </c>
      <c r="N25" s="104">
        <f t="shared" si="3"/>
        <v>0.27943032269695328</v>
      </c>
      <c r="O25" s="111">
        <f>SUM(O17:O24)</f>
        <v>8</v>
      </c>
      <c r="P25" s="111">
        <f>SUM(P14:P24)</f>
        <v>4</v>
      </c>
      <c r="Q25" s="111">
        <f>SUM(Q14:Q24)</f>
        <v>40</v>
      </c>
      <c r="R25" s="111">
        <f>SUM(R14:R24)</f>
        <v>10</v>
      </c>
      <c r="S25" s="111">
        <f>SUM(S14:S24)</f>
        <v>3</v>
      </c>
      <c r="T25" s="103">
        <v>38</v>
      </c>
      <c r="U25" s="104">
        <f t="shared" si="0"/>
        <v>0.34252749233820085</v>
      </c>
      <c r="V25" s="111">
        <f>SUM(V17:V24)</f>
        <v>5</v>
      </c>
      <c r="W25" s="111">
        <f>SUM(W14:W24)</f>
        <v>4</v>
      </c>
      <c r="X25" s="111">
        <f>SUM(X14:X24)</f>
        <v>74</v>
      </c>
      <c r="Y25" s="111">
        <f>SUM(Y14:Y24)</f>
        <v>17</v>
      </c>
      <c r="Z25" s="111">
        <f>SUM(Z14:Z24)</f>
        <v>2</v>
      </c>
      <c r="AA25" s="103">
        <v>38</v>
      </c>
      <c r="AB25" s="104">
        <f t="shared" si="1"/>
        <v>0.34252749233820085</v>
      </c>
      <c r="AC25" s="107">
        <f>SUM(AC14:AC24)</f>
        <v>20</v>
      </c>
      <c r="AD25" s="107">
        <f t="shared" ref="AD25:AE25" si="6">SUM(AD14:AD24)</f>
        <v>15</v>
      </c>
      <c r="AE25" s="107">
        <f t="shared" si="6"/>
        <v>338</v>
      </c>
    </row>
    <row r="26" spans="1:31" ht="13.8" x14ac:dyDescent="0.25">
      <c r="A26" s="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27"/>
      <c r="AD26" s="126"/>
      <c r="AE26" s="127"/>
    </row>
    <row r="27" spans="1:31" ht="14.4" thickBot="1" x14ac:dyDescent="0.3">
      <c r="A27" s="6" t="s">
        <v>50</v>
      </c>
      <c r="B27" s="113"/>
      <c r="C27" s="113"/>
      <c r="D27" s="113"/>
      <c r="E27" s="113"/>
      <c r="F27" s="11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27"/>
      <c r="AD27" s="126"/>
      <c r="AE27" s="127"/>
    </row>
    <row r="28" spans="1:31" ht="14.4" thickBot="1" x14ac:dyDescent="0.3">
      <c r="A28" s="89" t="s">
        <v>15</v>
      </c>
      <c r="B28" s="97">
        <v>2983</v>
      </c>
      <c r="C28" s="97">
        <v>1480</v>
      </c>
      <c r="D28" s="97">
        <v>3213</v>
      </c>
      <c r="E28" s="97">
        <v>3012</v>
      </c>
      <c r="F28" s="97">
        <v>3142</v>
      </c>
      <c r="G28" s="98">
        <v>15448</v>
      </c>
      <c r="H28" s="97">
        <v>5</v>
      </c>
      <c r="I28" s="97">
        <v>0</v>
      </c>
      <c r="J28" s="97">
        <v>17</v>
      </c>
      <c r="K28" s="97">
        <v>0</v>
      </c>
      <c r="L28" s="97">
        <v>1</v>
      </c>
      <c r="M28" s="97">
        <v>14</v>
      </c>
      <c r="N28" s="99">
        <f t="shared" si="3"/>
        <v>9.0626618332470224E-2</v>
      </c>
      <c r="O28" s="97">
        <v>8</v>
      </c>
      <c r="P28" s="97">
        <v>3</v>
      </c>
      <c r="Q28" s="97">
        <v>8</v>
      </c>
      <c r="R28" s="97">
        <v>1</v>
      </c>
      <c r="S28" s="97">
        <v>1</v>
      </c>
      <c r="T28" s="97">
        <v>18</v>
      </c>
      <c r="U28" s="99">
        <f t="shared" si="0"/>
        <v>0.11651993785603314</v>
      </c>
      <c r="V28" s="97">
        <v>7</v>
      </c>
      <c r="W28" s="97">
        <v>2</v>
      </c>
      <c r="X28" s="97">
        <v>14</v>
      </c>
      <c r="Y28" s="97">
        <v>2</v>
      </c>
      <c r="Z28" s="97">
        <v>2</v>
      </c>
      <c r="AA28" s="97">
        <v>8</v>
      </c>
      <c r="AB28" s="99">
        <f t="shared" si="1"/>
        <v>5.178663904712584E-2</v>
      </c>
      <c r="AC28" s="101">
        <v>2</v>
      </c>
      <c r="AD28" s="101">
        <v>0</v>
      </c>
      <c r="AE28" s="101">
        <v>97</v>
      </c>
    </row>
    <row r="29" spans="1:31" ht="14.4" thickBot="1" x14ac:dyDescent="0.3">
      <c r="A29" s="89" t="s">
        <v>16</v>
      </c>
      <c r="B29" s="97">
        <v>1098</v>
      </c>
      <c r="C29" s="97">
        <v>745</v>
      </c>
      <c r="D29" s="97">
        <v>1910</v>
      </c>
      <c r="E29" s="97">
        <v>1601</v>
      </c>
      <c r="F29" s="97">
        <v>901</v>
      </c>
      <c r="G29" s="98">
        <v>6801</v>
      </c>
      <c r="H29" s="97">
        <v>2</v>
      </c>
      <c r="I29" s="97">
        <v>1</v>
      </c>
      <c r="J29" s="97">
        <v>6</v>
      </c>
      <c r="K29" s="97">
        <v>7</v>
      </c>
      <c r="L29" s="97">
        <v>1</v>
      </c>
      <c r="M29" s="97">
        <v>26</v>
      </c>
      <c r="N29" s="99">
        <f t="shared" si="3"/>
        <v>0.38229672107043083</v>
      </c>
      <c r="O29" s="97">
        <v>5</v>
      </c>
      <c r="P29" s="97">
        <v>0</v>
      </c>
      <c r="Q29" s="97">
        <v>15</v>
      </c>
      <c r="R29" s="97">
        <v>2</v>
      </c>
      <c r="S29" s="97">
        <v>0</v>
      </c>
      <c r="T29" s="97">
        <v>13</v>
      </c>
      <c r="U29" s="99">
        <f t="shared" si="0"/>
        <v>0.19114836053521542</v>
      </c>
      <c r="V29" s="97">
        <v>4</v>
      </c>
      <c r="W29" s="97">
        <v>2</v>
      </c>
      <c r="X29" s="97">
        <v>10</v>
      </c>
      <c r="Y29" s="97">
        <v>4</v>
      </c>
      <c r="Z29" s="97">
        <v>0</v>
      </c>
      <c r="AA29" s="97">
        <v>15</v>
      </c>
      <c r="AB29" s="99">
        <f t="shared" si="1"/>
        <v>0.22055580061755625</v>
      </c>
      <c r="AC29" s="101">
        <v>9</v>
      </c>
      <c r="AD29" s="101">
        <v>3</v>
      </c>
      <c r="AE29" s="101">
        <v>81</v>
      </c>
    </row>
    <row r="30" spans="1:31" ht="14.4" thickBot="1" x14ac:dyDescent="0.3">
      <c r="A30" s="89" t="s">
        <v>34</v>
      </c>
      <c r="B30" s="97">
        <v>913</v>
      </c>
      <c r="C30" s="97">
        <v>502</v>
      </c>
      <c r="D30" s="97">
        <v>925</v>
      </c>
      <c r="E30" s="97">
        <v>900</v>
      </c>
      <c r="F30" s="97">
        <v>1082</v>
      </c>
      <c r="G30" s="98">
        <v>4681</v>
      </c>
      <c r="H30" s="97">
        <v>3</v>
      </c>
      <c r="I30" s="97">
        <v>1</v>
      </c>
      <c r="J30" s="97">
        <v>2</v>
      </c>
      <c r="K30" s="97">
        <v>0</v>
      </c>
      <c r="L30" s="97">
        <v>0</v>
      </c>
      <c r="M30" s="97">
        <v>12</v>
      </c>
      <c r="N30" s="99">
        <f t="shared" si="3"/>
        <v>0.2563554795983764</v>
      </c>
      <c r="O30" s="97">
        <v>10</v>
      </c>
      <c r="P30" s="97">
        <v>1</v>
      </c>
      <c r="Q30" s="97">
        <v>8</v>
      </c>
      <c r="R30" s="97">
        <v>3</v>
      </c>
      <c r="S30" s="97">
        <v>1</v>
      </c>
      <c r="T30" s="97">
        <v>16</v>
      </c>
      <c r="U30" s="99">
        <f t="shared" si="0"/>
        <v>0.34180730613116855</v>
      </c>
      <c r="V30" s="97"/>
      <c r="W30" s="97"/>
      <c r="X30" s="97">
        <v>10</v>
      </c>
      <c r="Y30" s="97">
        <v>1</v>
      </c>
      <c r="Z30" s="97">
        <v>1</v>
      </c>
      <c r="AA30" s="97">
        <v>5</v>
      </c>
      <c r="AB30" s="99">
        <f t="shared" si="1"/>
        <v>0.10681478316599018</v>
      </c>
      <c r="AC30" s="101">
        <v>0</v>
      </c>
      <c r="AD30" s="101">
        <v>1</v>
      </c>
      <c r="AE30" s="101">
        <v>34</v>
      </c>
    </row>
    <row r="31" spans="1:31" ht="14.4" thickBot="1" x14ac:dyDescent="0.3">
      <c r="A31" s="89" t="s">
        <v>17</v>
      </c>
      <c r="B31" s="97">
        <v>5962</v>
      </c>
      <c r="C31" s="97">
        <v>3612</v>
      </c>
      <c r="D31" s="97">
        <v>8185</v>
      </c>
      <c r="E31" s="97">
        <v>6969</v>
      </c>
      <c r="F31" s="97">
        <v>4686</v>
      </c>
      <c r="G31" s="98">
        <v>33665</v>
      </c>
      <c r="H31" s="97">
        <v>5</v>
      </c>
      <c r="I31" s="97">
        <v>8</v>
      </c>
      <c r="J31" s="97">
        <v>8</v>
      </c>
      <c r="K31" s="97">
        <v>2</v>
      </c>
      <c r="L31" s="97">
        <v>1</v>
      </c>
      <c r="M31" s="97">
        <v>11</v>
      </c>
      <c r="N31" s="99">
        <f t="shared" si="3"/>
        <v>3.2674884895291849E-2</v>
      </c>
      <c r="O31" s="97">
        <v>10</v>
      </c>
      <c r="P31" s="97">
        <v>10</v>
      </c>
      <c r="Q31" s="97">
        <v>22</v>
      </c>
      <c r="R31" s="97">
        <v>8</v>
      </c>
      <c r="S31" s="97">
        <v>6</v>
      </c>
      <c r="T31" s="97">
        <v>44</v>
      </c>
      <c r="U31" s="99">
        <f t="shared" si="0"/>
        <v>0.1306995395811674</v>
      </c>
      <c r="V31" s="97">
        <v>16</v>
      </c>
      <c r="W31" s="97">
        <v>8</v>
      </c>
      <c r="X31" s="97">
        <v>39</v>
      </c>
      <c r="Y31" s="97">
        <v>12</v>
      </c>
      <c r="Z31" s="97">
        <v>1</v>
      </c>
      <c r="AA31" s="97">
        <v>25</v>
      </c>
      <c r="AB31" s="99">
        <f t="shared" si="1"/>
        <v>7.4261102034754195E-2</v>
      </c>
      <c r="AC31" s="101">
        <v>9</v>
      </c>
      <c r="AD31" s="101">
        <v>0</v>
      </c>
      <c r="AE31" s="101">
        <v>214</v>
      </c>
    </row>
    <row r="32" spans="1:31" ht="14.4" thickBot="1" x14ac:dyDescent="0.3">
      <c r="A32" s="89" t="s">
        <v>18</v>
      </c>
      <c r="B32" s="97">
        <v>2232</v>
      </c>
      <c r="C32" s="97">
        <v>1239</v>
      </c>
      <c r="D32" s="97">
        <v>1878</v>
      </c>
      <c r="E32" s="97">
        <v>1798</v>
      </c>
      <c r="F32" s="97">
        <v>3064</v>
      </c>
      <c r="G32" s="98">
        <v>10859</v>
      </c>
      <c r="H32" s="97">
        <v>7</v>
      </c>
      <c r="I32" s="97">
        <v>1</v>
      </c>
      <c r="J32" s="97">
        <v>2</v>
      </c>
      <c r="K32" s="97">
        <v>12</v>
      </c>
      <c r="L32" s="97">
        <v>1</v>
      </c>
      <c r="M32" s="97">
        <v>17</v>
      </c>
      <c r="N32" s="99">
        <f t="shared" si="3"/>
        <v>0.15655216870798416</v>
      </c>
      <c r="O32" s="97">
        <v>5</v>
      </c>
      <c r="P32" s="97">
        <v>5</v>
      </c>
      <c r="Q32" s="97">
        <v>8</v>
      </c>
      <c r="R32" s="97">
        <v>7</v>
      </c>
      <c r="S32" s="97">
        <v>4</v>
      </c>
      <c r="T32" s="97">
        <v>30</v>
      </c>
      <c r="U32" s="99">
        <f t="shared" si="0"/>
        <v>0.27626853301408971</v>
      </c>
      <c r="V32" s="97">
        <v>2</v>
      </c>
      <c r="W32" s="97">
        <v>2</v>
      </c>
      <c r="X32" s="97">
        <v>15</v>
      </c>
      <c r="Y32" s="97">
        <v>1</v>
      </c>
      <c r="Z32" s="97">
        <v>2</v>
      </c>
      <c r="AA32" s="97">
        <v>4</v>
      </c>
      <c r="AB32" s="99">
        <f t="shared" si="1"/>
        <v>3.6835804401878627E-2</v>
      </c>
      <c r="AC32" s="101">
        <v>4</v>
      </c>
      <c r="AD32" s="101">
        <v>0</v>
      </c>
      <c r="AE32" s="101">
        <v>39</v>
      </c>
    </row>
    <row r="33" spans="1:31" ht="14.4" thickBot="1" x14ac:dyDescent="0.3">
      <c r="A33" s="89" t="s">
        <v>19</v>
      </c>
      <c r="B33" s="97">
        <v>9246</v>
      </c>
      <c r="C33" s="97">
        <v>5517</v>
      </c>
      <c r="D33" s="97">
        <v>11932</v>
      </c>
      <c r="E33" s="97">
        <v>10167</v>
      </c>
      <c r="F33" s="97">
        <v>5609</v>
      </c>
      <c r="G33" s="98">
        <v>47814</v>
      </c>
      <c r="H33" s="97">
        <v>32</v>
      </c>
      <c r="I33" s="97">
        <v>18</v>
      </c>
      <c r="J33" s="97">
        <v>54</v>
      </c>
      <c r="K33" s="97">
        <v>33</v>
      </c>
      <c r="L33" s="97">
        <v>3</v>
      </c>
      <c r="M33" s="97">
        <v>120</v>
      </c>
      <c r="N33" s="99">
        <f t="shared" si="3"/>
        <v>0.25097251850922325</v>
      </c>
      <c r="O33" s="97">
        <v>48</v>
      </c>
      <c r="P33" s="97">
        <v>35</v>
      </c>
      <c r="Q33" s="97">
        <v>112</v>
      </c>
      <c r="R33" s="97">
        <v>34</v>
      </c>
      <c r="S33" s="97">
        <v>30</v>
      </c>
      <c r="T33" s="97">
        <v>177</v>
      </c>
      <c r="U33" s="99">
        <f t="shared" si="0"/>
        <v>0.37018446480110428</v>
      </c>
      <c r="V33" s="97">
        <v>40</v>
      </c>
      <c r="W33" s="97">
        <v>40</v>
      </c>
      <c r="X33" s="97">
        <v>86</v>
      </c>
      <c r="Y33" s="97">
        <v>43</v>
      </c>
      <c r="Z33" s="97">
        <v>2</v>
      </c>
      <c r="AA33" s="97">
        <v>75</v>
      </c>
      <c r="AB33" s="99">
        <f t="shared" si="1"/>
        <v>0.15685782406826451</v>
      </c>
      <c r="AC33" s="101">
        <v>51</v>
      </c>
      <c r="AD33" s="101">
        <v>4</v>
      </c>
      <c r="AE33" s="101">
        <v>449</v>
      </c>
    </row>
    <row r="34" spans="1:31" ht="14.4" thickBot="1" x14ac:dyDescent="0.3">
      <c r="A34" s="89" t="s">
        <v>20</v>
      </c>
      <c r="B34" s="97">
        <v>5442</v>
      </c>
      <c r="C34" s="97">
        <v>3534</v>
      </c>
      <c r="D34" s="97">
        <v>8238</v>
      </c>
      <c r="E34" s="97">
        <v>7812</v>
      </c>
      <c r="F34" s="97">
        <v>3711</v>
      </c>
      <c r="G34" s="98">
        <v>33096</v>
      </c>
      <c r="H34" s="97">
        <v>21</v>
      </c>
      <c r="I34" s="97">
        <v>6</v>
      </c>
      <c r="J34" s="97">
        <v>22</v>
      </c>
      <c r="K34" s="97">
        <v>12</v>
      </c>
      <c r="L34" s="97">
        <v>2</v>
      </c>
      <c r="M34" s="97">
        <v>53</v>
      </c>
      <c r="N34" s="99">
        <f t="shared" si="3"/>
        <v>0.16014019821126421</v>
      </c>
      <c r="O34" s="97">
        <v>27</v>
      </c>
      <c r="P34" s="97">
        <v>8</v>
      </c>
      <c r="Q34" s="97">
        <v>37</v>
      </c>
      <c r="R34" s="97">
        <v>27</v>
      </c>
      <c r="S34" s="97">
        <v>5</v>
      </c>
      <c r="T34" s="97">
        <v>76</v>
      </c>
      <c r="U34" s="99">
        <f t="shared" si="0"/>
        <v>0.22963500120860528</v>
      </c>
      <c r="V34" s="97">
        <v>7</v>
      </c>
      <c r="W34" s="97">
        <v>14</v>
      </c>
      <c r="X34" s="97">
        <v>51</v>
      </c>
      <c r="Y34" s="97">
        <v>30</v>
      </c>
      <c r="Z34" s="97">
        <v>2</v>
      </c>
      <c r="AA34" s="97">
        <v>57</v>
      </c>
      <c r="AB34" s="99">
        <f t="shared" si="1"/>
        <v>0.17222625090645396</v>
      </c>
      <c r="AC34" s="101">
        <v>31</v>
      </c>
      <c r="AD34" s="101">
        <v>1</v>
      </c>
      <c r="AE34" s="101">
        <v>394</v>
      </c>
    </row>
    <row r="35" spans="1:31" ht="14.4" thickBot="1" x14ac:dyDescent="0.3">
      <c r="A35" s="89" t="s">
        <v>25</v>
      </c>
      <c r="B35" s="97"/>
      <c r="C35" s="97"/>
      <c r="D35" s="97"/>
      <c r="E35" s="97"/>
      <c r="F35" s="97"/>
      <c r="G35" s="98">
        <v>219</v>
      </c>
      <c r="H35" s="97"/>
      <c r="I35" s="97"/>
      <c r="J35" s="97"/>
      <c r="K35" s="97"/>
      <c r="L35" s="97"/>
      <c r="M35" s="97">
        <v>3</v>
      </c>
      <c r="N35" s="99">
        <f t="shared" si="3"/>
        <v>1.3698630136986301</v>
      </c>
      <c r="O35" s="97"/>
      <c r="P35" s="97"/>
      <c r="Q35" s="97"/>
      <c r="R35" s="97"/>
      <c r="S35" s="97"/>
      <c r="T35" s="97">
        <v>4</v>
      </c>
      <c r="U35" s="99">
        <f t="shared" si="0"/>
        <v>1.8264840182648401</v>
      </c>
      <c r="V35" s="97"/>
      <c r="W35" s="97"/>
      <c r="X35" s="97"/>
      <c r="Y35" s="97"/>
      <c r="Z35" s="97"/>
      <c r="AA35" s="97">
        <v>2</v>
      </c>
      <c r="AB35" s="99">
        <f t="shared" si="1"/>
        <v>0.91324200913242004</v>
      </c>
      <c r="AC35" s="101">
        <v>0</v>
      </c>
      <c r="AD35" s="101">
        <v>0</v>
      </c>
      <c r="AE35" s="101">
        <v>29</v>
      </c>
    </row>
    <row r="36" spans="1:31" ht="14.4" thickBot="1" x14ac:dyDescent="0.3">
      <c r="A36" s="89" t="s">
        <v>26</v>
      </c>
      <c r="B36" s="97">
        <v>48921</v>
      </c>
      <c r="C36" s="97">
        <v>32891</v>
      </c>
      <c r="D36" s="97">
        <v>67606</v>
      </c>
      <c r="E36" s="97">
        <v>67129</v>
      </c>
      <c r="F36" s="97">
        <v>37040</v>
      </c>
      <c r="G36" s="98">
        <v>309541</v>
      </c>
      <c r="H36" s="97">
        <v>86</v>
      </c>
      <c r="I36" s="97">
        <v>53</v>
      </c>
      <c r="J36" s="97">
        <v>136</v>
      </c>
      <c r="K36" s="97">
        <v>79</v>
      </c>
      <c r="L36" s="97">
        <v>25</v>
      </c>
      <c r="M36" s="97">
        <v>412</v>
      </c>
      <c r="N36" s="99">
        <f t="shared" si="3"/>
        <v>0.13310030012179325</v>
      </c>
      <c r="O36" s="97">
        <v>160</v>
      </c>
      <c r="P36" s="97">
        <v>61</v>
      </c>
      <c r="Q36" s="97">
        <v>270</v>
      </c>
      <c r="R36" s="97">
        <v>149</v>
      </c>
      <c r="S36" s="97">
        <v>52</v>
      </c>
      <c r="T36" s="97">
        <v>661</v>
      </c>
      <c r="U36" s="99">
        <f t="shared" si="0"/>
        <v>0.21354198636044983</v>
      </c>
      <c r="V36" s="97">
        <v>133</v>
      </c>
      <c r="W36" s="97">
        <v>68</v>
      </c>
      <c r="X36" s="97">
        <v>354</v>
      </c>
      <c r="Y36" s="97">
        <v>193</v>
      </c>
      <c r="Z36" s="97">
        <v>62</v>
      </c>
      <c r="AA36" s="97">
        <v>370</v>
      </c>
      <c r="AB36" s="99">
        <f t="shared" si="1"/>
        <v>0.11953182292491141</v>
      </c>
      <c r="AC36" s="101">
        <v>145</v>
      </c>
      <c r="AD36" s="101">
        <v>25</v>
      </c>
      <c r="AE36" s="97">
        <v>2869</v>
      </c>
    </row>
    <row r="37" spans="1:31" s="132" customFormat="1" ht="14.4" thickBot="1" x14ac:dyDescent="0.3">
      <c r="A37" s="128" t="s">
        <v>21</v>
      </c>
      <c r="B37" s="111">
        <f t="shared" ref="B37:L37" si="7">SUM(B28:B36)</f>
        <v>76797</v>
      </c>
      <c r="C37" s="111">
        <f t="shared" si="7"/>
        <v>49520</v>
      </c>
      <c r="D37" s="111">
        <f t="shared" si="7"/>
        <v>103887</v>
      </c>
      <c r="E37" s="111">
        <f t="shared" si="7"/>
        <v>99388</v>
      </c>
      <c r="F37" s="111">
        <f t="shared" si="7"/>
        <v>59235</v>
      </c>
      <c r="G37" s="102">
        <v>462124</v>
      </c>
      <c r="H37" s="111">
        <f t="shared" si="7"/>
        <v>161</v>
      </c>
      <c r="I37" s="111">
        <f t="shared" si="7"/>
        <v>88</v>
      </c>
      <c r="J37" s="111">
        <f t="shared" si="7"/>
        <v>247</v>
      </c>
      <c r="K37" s="111">
        <f t="shared" si="7"/>
        <v>145</v>
      </c>
      <c r="L37" s="111">
        <f t="shared" si="7"/>
        <v>34</v>
      </c>
      <c r="M37" s="103">
        <v>668</v>
      </c>
      <c r="N37" s="104">
        <f t="shared" si="3"/>
        <v>0.1445499476331028</v>
      </c>
      <c r="O37" s="111">
        <f>SUM(O28:O36)</f>
        <v>273</v>
      </c>
      <c r="P37" s="111">
        <f>SUM(P28:P36)</f>
        <v>123</v>
      </c>
      <c r="Q37" s="111">
        <f>SUM(Q28:Q36)</f>
        <v>480</v>
      </c>
      <c r="R37" s="111">
        <f>SUM(R28:R36)</f>
        <v>231</v>
      </c>
      <c r="S37" s="111">
        <f>SUM(S28:S36)</f>
        <v>99</v>
      </c>
      <c r="T37" s="103">
        <v>1039</v>
      </c>
      <c r="U37" s="104">
        <f t="shared" si="0"/>
        <v>0.22483143052514043</v>
      </c>
      <c r="V37" s="111">
        <f>SUM(V28:V36)</f>
        <v>209</v>
      </c>
      <c r="W37" s="111">
        <f>SUM(W28:W36)</f>
        <v>136</v>
      </c>
      <c r="X37" s="111">
        <f>SUM(X28:X36)</f>
        <v>579</v>
      </c>
      <c r="Y37" s="111">
        <f>SUM(Y28:Y36)</f>
        <v>286</v>
      </c>
      <c r="Z37" s="111">
        <f>SUM(Z28:Z36)</f>
        <v>72</v>
      </c>
      <c r="AA37" s="103">
        <v>1039</v>
      </c>
      <c r="AB37" s="104">
        <f t="shared" si="1"/>
        <v>0.22483143052514043</v>
      </c>
      <c r="AC37" s="107">
        <f>SUM(AC28:AC36)</f>
        <v>251</v>
      </c>
      <c r="AD37" s="107">
        <f t="shared" ref="AD37:AE37" si="8">SUM(AD28:AD36)</f>
        <v>34</v>
      </c>
      <c r="AE37" s="107">
        <f t="shared" si="8"/>
        <v>4206</v>
      </c>
    </row>
    <row r="38" spans="1:31" ht="13.8" x14ac:dyDescent="0.25">
      <c r="A38" s="129"/>
      <c r="B38" s="130"/>
      <c r="C38" s="130"/>
      <c r="D38" s="130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7"/>
      <c r="AD38" s="127"/>
      <c r="AE38" s="127"/>
    </row>
    <row r="39" spans="1:31" ht="14.4" thickBot="1" x14ac:dyDescent="0.3">
      <c r="A39" s="6" t="s">
        <v>28</v>
      </c>
      <c r="B39" s="113"/>
      <c r="C39" s="113"/>
      <c r="D39" s="113"/>
      <c r="E39" s="113"/>
      <c r="F39" s="113"/>
      <c r="G39" s="112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27"/>
      <c r="AD39" s="127"/>
      <c r="AE39" s="127"/>
    </row>
    <row r="40" spans="1:31" ht="14.4" thickBot="1" x14ac:dyDescent="0.3">
      <c r="A40" s="89" t="s">
        <v>40</v>
      </c>
      <c r="B40" s="97"/>
      <c r="C40" s="97"/>
      <c r="D40" s="97"/>
      <c r="E40" s="97"/>
      <c r="F40" s="97"/>
      <c r="G40" s="98">
        <v>323</v>
      </c>
      <c r="H40" s="97"/>
      <c r="I40" s="97"/>
      <c r="J40" s="97"/>
      <c r="K40" s="97"/>
      <c r="L40" s="120"/>
      <c r="M40" s="97">
        <v>1</v>
      </c>
      <c r="N40" s="99">
        <f t="shared" si="3"/>
        <v>0.30959752321981426</v>
      </c>
      <c r="O40" s="97"/>
      <c r="P40" s="97"/>
      <c r="Q40" s="97"/>
      <c r="R40" s="97"/>
      <c r="S40" s="97"/>
      <c r="T40" s="97">
        <v>9</v>
      </c>
      <c r="U40" s="99">
        <f t="shared" si="0"/>
        <v>2.7863777089783284</v>
      </c>
      <c r="V40" s="133"/>
      <c r="W40" s="133"/>
      <c r="X40" s="133"/>
      <c r="Y40" s="133"/>
      <c r="Z40" s="133"/>
      <c r="AA40" s="101">
        <v>2</v>
      </c>
      <c r="AB40" s="99">
        <f t="shared" si="1"/>
        <v>0.61919504643962853</v>
      </c>
      <c r="AC40" s="101">
        <v>1</v>
      </c>
      <c r="AD40" s="101">
        <v>0</v>
      </c>
      <c r="AE40" s="101">
        <v>5</v>
      </c>
    </row>
    <row r="41" spans="1:31" ht="14.4" thickBot="1" x14ac:dyDescent="0.3">
      <c r="A41" s="89" t="s">
        <v>27</v>
      </c>
      <c r="B41" s="97">
        <v>49382</v>
      </c>
      <c r="C41" s="97">
        <v>38536</v>
      </c>
      <c r="D41" s="109">
        <v>55854</v>
      </c>
      <c r="E41" s="97">
        <v>55288</v>
      </c>
      <c r="F41" s="97">
        <v>47258</v>
      </c>
      <c r="G41" s="98">
        <v>253556</v>
      </c>
      <c r="H41" s="97">
        <v>25</v>
      </c>
      <c r="I41" s="97">
        <v>18</v>
      </c>
      <c r="J41" s="97">
        <v>14</v>
      </c>
      <c r="K41" s="97">
        <v>24</v>
      </c>
      <c r="L41" s="97">
        <v>6</v>
      </c>
      <c r="M41" s="97">
        <v>85</v>
      </c>
      <c r="N41" s="99">
        <f t="shared" si="3"/>
        <v>3.3523166479988639E-2</v>
      </c>
      <c r="O41" s="97">
        <v>27</v>
      </c>
      <c r="P41" s="97">
        <v>19</v>
      </c>
      <c r="Q41" s="97">
        <v>19</v>
      </c>
      <c r="R41" s="97">
        <v>18</v>
      </c>
      <c r="S41" s="97">
        <v>8</v>
      </c>
      <c r="T41" s="97">
        <v>55</v>
      </c>
      <c r="U41" s="99">
        <f t="shared" si="0"/>
        <v>2.1691460663522063E-2</v>
      </c>
      <c r="V41" s="109">
        <v>147</v>
      </c>
      <c r="W41" s="109">
        <v>32</v>
      </c>
      <c r="X41" s="133">
        <v>92</v>
      </c>
      <c r="Y41" s="133">
        <v>70</v>
      </c>
      <c r="Z41" s="133">
        <v>49</v>
      </c>
      <c r="AA41" s="97">
        <v>26</v>
      </c>
      <c r="AB41" s="99">
        <f t="shared" si="1"/>
        <v>1.0254145040937702E-2</v>
      </c>
      <c r="AC41" s="101">
        <v>10</v>
      </c>
      <c r="AD41" s="101">
        <v>3</v>
      </c>
      <c r="AE41" s="101">
        <v>217</v>
      </c>
    </row>
    <row r="42" spans="1:31" s="132" customFormat="1" ht="14.4" thickBot="1" x14ac:dyDescent="0.3">
      <c r="A42" s="128" t="s">
        <v>21</v>
      </c>
      <c r="B42" s="111">
        <f>SUM(B40:B41)</f>
        <v>49382</v>
      </c>
      <c r="C42" s="111">
        <f t="shared" ref="C42:F42" si="9">SUM(C40:C41)</f>
        <v>38536</v>
      </c>
      <c r="D42" s="111">
        <f t="shared" si="9"/>
        <v>55854</v>
      </c>
      <c r="E42" s="111">
        <f t="shared" si="9"/>
        <v>55288</v>
      </c>
      <c r="F42" s="111">
        <f t="shared" si="9"/>
        <v>47258</v>
      </c>
      <c r="G42" s="102">
        <v>253879</v>
      </c>
      <c r="H42" s="111">
        <f>SUM(H40:H41)</f>
        <v>25</v>
      </c>
      <c r="I42" s="111">
        <f t="shared" ref="I42:L42" si="10">SUM(I40:I41)</f>
        <v>18</v>
      </c>
      <c r="J42" s="111">
        <f t="shared" si="10"/>
        <v>14</v>
      </c>
      <c r="K42" s="111">
        <f t="shared" si="10"/>
        <v>24</v>
      </c>
      <c r="L42" s="111">
        <f t="shared" si="10"/>
        <v>6</v>
      </c>
      <c r="M42" s="103">
        <v>86</v>
      </c>
      <c r="N42" s="104">
        <f t="shared" si="3"/>
        <v>3.3874404736114451E-2</v>
      </c>
      <c r="O42" s="111">
        <f>SUM(O40:O41)</f>
        <v>27</v>
      </c>
      <c r="P42" s="111">
        <f t="shared" ref="P42:S42" si="11">SUM(P40:P41)</f>
        <v>19</v>
      </c>
      <c r="Q42" s="111">
        <f t="shared" si="11"/>
        <v>19</v>
      </c>
      <c r="R42" s="111">
        <f t="shared" si="11"/>
        <v>18</v>
      </c>
      <c r="S42" s="111">
        <f t="shared" si="11"/>
        <v>8</v>
      </c>
      <c r="T42" s="103">
        <f>SUM(T40:T41)</f>
        <v>64</v>
      </c>
      <c r="U42" s="104">
        <f t="shared" si="0"/>
        <v>2.5208859338503774E-2</v>
      </c>
      <c r="V42" s="111">
        <f>SUM(V40:V41)</f>
        <v>147</v>
      </c>
      <c r="W42" s="111">
        <f t="shared" ref="W42:Z42" si="12">SUM(W40:W41)</f>
        <v>32</v>
      </c>
      <c r="X42" s="111">
        <f t="shared" si="12"/>
        <v>92</v>
      </c>
      <c r="Y42" s="111">
        <f t="shared" si="12"/>
        <v>70</v>
      </c>
      <c r="Z42" s="111">
        <f t="shared" si="12"/>
        <v>49</v>
      </c>
      <c r="AA42" s="106">
        <f>SUM(AA40:AA41)</f>
        <v>28</v>
      </c>
      <c r="AB42" s="104">
        <f t="shared" si="1"/>
        <v>1.1028875960595402E-2</v>
      </c>
      <c r="AC42" s="107">
        <f>SUM(AC40:AC41)</f>
        <v>11</v>
      </c>
      <c r="AD42" s="107">
        <f>SUM(AD40:AD41)</f>
        <v>3</v>
      </c>
      <c r="AE42" s="107">
        <v>222</v>
      </c>
    </row>
    <row r="43" spans="1:31" ht="16.2" thickBot="1" x14ac:dyDescent="0.3">
      <c r="A43" s="121" t="s">
        <v>48</v>
      </c>
      <c r="B43" s="138">
        <f>B11+B25+B37+B42</f>
        <v>131477</v>
      </c>
      <c r="C43" s="134">
        <f>C11+C25+C37+C42</f>
        <v>89957</v>
      </c>
      <c r="D43" s="138">
        <f>D11+D25+D37+D42</f>
        <v>167216</v>
      </c>
      <c r="E43" s="134">
        <f>SUM(B43:D43)</f>
        <v>388650</v>
      </c>
      <c r="F43" s="134">
        <f t="shared" ref="F43" si="13">F11+F25+F37+F42</f>
        <v>109560</v>
      </c>
      <c r="G43" s="122">
        <f>G11+G25+G37+G42</f>
        <v>736443</v>
      </c>
      <c r="H43" s="122">
        <f t="shared" ref="H43:AE43" si="14">H11+H25+H37+H42</f>
        <v>201</v>
      </c>
      <c r="I43" s="122">
        <f t="shared" si="14"/>
        <v>109</v>
      </c>
      <c r="J43" s="122">
        <f t="shared" si="14"/>
        <v>281</v>
      </c>
      <c r="K43" s="122">
        <f t="shared" si="14"/>
        <v>184</v>
      </c>
      <c r="L43" s="122">
        <f t="shared" si="14"/>
        <v>41</v>
      </c>
      <c r="M43" s="122">
        <f>M11+M25+M37+M42</f>
        <v>809</v>
      </c>
      <c r="N43" s="123">
        <f t="shared" si="3"/>
        <v>0.10985235788784739</v>
      </c>
      <c r="O43" s="122">
        <f t="shared" si="14"/>
        <v>339</v>
      </c>
      <c r="P43" s="122">
        <f t="shared" si="14"/>
        <v>149</v>
      </c>
      <c r="Q43" s="122">
        <f t="shared" si="14"/>
        <v>571</v>
      </c>
      <c r="R43" s="122">
        <f t="shared" si="14"/>
        <v>280</v>
      </c>
      <c r="S43" s="122">
        <f t="shared" si="14"/>
        <v>117</v>
      </c>
      <c r="T43" s="122">
        <f t="shared" si="14"/>
        <v>1182</v>
      </c>
      <c r="U43" s="123">
        <f t="shared" si="0"/>
        <v>0.1605012200536905</v>
      </c>
      <c r="V43" s="122">
        <f t="shared" si="14"/>
        <v>377</v>
      </c>
      <c r="W43" s="122">
        <f t="shared" si="14"/>
        <v>177</v>
      </c>
      <c r="X43" s="122">
        <f t="shared" si="14"/>
        <v>813</v>
      </c>
      <c r="Y43" s="122">
        <f t="shared" si="14"/>
        <v>382</v>
      </c>
      <c r="Z43" s="122">
        <f t="shared" si="14"/>
        <v>128</v>
      </c>
      <c r="AA43" s="122">
        <f t="shared" si="14"/>
        <v>1146</v>
      </c>
      <c r="AB43" s="123">
        <f t="shared" si="1"/>
        <v>0.15561285802159841</v>
      </c>
      <c r="AC43" s="122">
        <f>AC11+AC25+AC37+AC42</f>
        <v>285</v>
      </c>
      <c r="AD43" s="122">
        <f t="shared" si="14"/>
        <v>54</v>
      </c>
      <c r="AE43" s="122">
        <f t="shared" si="14"/>
        <v>5072</v>
      </c>
    </row>
  </sheetData>
  <mergeCells count="9">
    <mergeCell ref="A1:AE1"/>
    <mergeCell ref="A3:A4"/>
    <mergeCell ref="B3:G3"/>
    <mergeCell ref="H3:M3"/>
    <mergeCell ref="O3:T3"/>
    <mergeCell ref="U3:U4"/>
    <mergeCell ref="AB3:AB4"/>
    <mergeCell ref="V3:AA3"/>
    <mergeCell ref="N3:N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46</vt:i4>
      </vt:variant>
      <vt:variant>
        <vt:lpstr>Benannte Bereiche</vt:lpstr>
      </vt:variant>
      <vt:variant>
        <vt:i4>12</vt:i4>
      </vt:variant>
    </vt:vector>
  </HeadingPairs>
  <TitlesOfParts>
    <vt:vector size="58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BEaH13</vt:lpstr>
      <vt:lpstr>BEaH14</vt:lpstr>
      <vt:lpstr>BEaH15</vt:lpstr>
      <vt:lpstr>BEaH16</vt:lpstr>
      <vt:lpstr>Arnsberg14</vt:lpstr>
      <vt:lpstr>Detmold14</vt:lpstr>
      <vt:lpstr>Düsseldorf14</vt:lpstr>
      <vt:lpstr>Kölle14</vt:lpstr>
      <vt:lpstr>Münster14</vt:lpstr>
      <vt:lpstr>BEaH17</vt:lpstr>
      <vt:lpstr>BEaH18</vt:lpstr>
      <vt:lpstr>BEaH19</vt:lpstr>
      <vt:lpstr>BEaH20</vt:lpstr>
      <vt:lpstr>BEaH21</vt:lpstr>
      <vt:lpstr>BEaH22</vt:lpstr>
      <vt:lpstr>BEaH23</vt:lpstr>
      <vt:lpstr>BEaH24</vt:lpstr>
      <vt:lpstr>BEaH25</vt:lpstr>
      <vt:lpstr>Stat%BM3,10,11</vt:lpstr>
      <vt:lpstr>Stati%BT3,10,11</vt:lpstr>
      <vt:lpstr>Stat%SOVO3,10,11</vt:lpstr>
      <vt:lpstr>Stat%RelErhb-BM</vt:lpstr>
      <vt:lpstr>Stat%RelErhb-BT</vt:lpstr>
      <vt:lpstr>1Anz3</vt:lpstr>
      <vt:lpstr>2Anz3BR</vt:lpstr>
      <vt:lpstr>3Vorfälle§3</vt:lpstr>
      <vt:lpstr>4Anz10</vt:lpstr>
      <vt:lpstr>5Anz10BR</vt:lpstr>
      <vt:lpstr>6Vorf10</vt:lpstr>
      <vt:lpstr>7Anz11</vt:lpstr>
      <vt:lpstr>8Anz11BR</vt:lpstr>
      <vt:lpstr>Stat%DC-BM</vt:lpstr>
      <vt:lpstr>Stat%DC-BT</vt:lpstr>
      <vt:lpstr>Stat%MiniBT-BM</vt:lpstr>
      <vt:lpstr>Stat%MiniBT-BT</vt:lpstr>
      <vt:lpstr>9Grafik</vt:lpstr>
      <vt:lpstr>BEaH13!Druckbereich</vt:lpstr>
      <vt:lpstr>BEaH14!Druckbereich</vt:lpstr>
      <vt:lpstr>BEaH15!Druckbereich</vt:lpstr>
      <vt:lpstr>BEaH16!Druckbereich</vt:lpstr>
      <vt:lpstr>BEaH17!Druckbereich</vt:lpstr>
      <vt:lpstr>BEaH18!Druckbereich</vt:lpstr>
      <vt:lpstr>BEaH19!Druckbereich</vt:lpstr>
      <vt:lpstr>BEaH20!Druckbereich</vt:lpstr>
      <vt:lpstr>BEaH21!Druckbereich</vt:lpstr>
      <vt:lpstr>'Stat%BM3,10,11'!Druckbereich</vt:lpstr>
      <vt:lpstr>'Stat%SOVO3,10,11'!Druckbereich</vt:lpstr>
      <vt:lpstr>'Stati%BT3,10,11'!Druckbereich</vt:lpstr>
    </vt:vector>
  </TitlesOfParts>
  <Company>Bezirksregierung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Brauers</dc:creator>
  <cp:lastModifiedBy>Krekler, Marc (MLV)</cp:lastModifiedBy>
  <cp:lastPrinted>2026-04-28T10:21:08Z</cp:lastPrinted>
  <dcterms:created xsi:type="dcterms:W3CDTF">2008-01-21T12:53:07Z</dcterms:created>
  <dcterms:modified xsi:type="dcterms:W3CDTF">2026-05-13T10:27:18Z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ESRI_WORKBOOK_ID">
    <vt:lpwstr>36f09cac5c9c4c60b213a801b1c313e4</vt:lpwstr>
  </property>
</Properties>
</file>